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340" tabRatio="783" activeTab="1"/>
  </bookViews>
  <sheets>
    <sheet name="1. Cover" sheetId="34" r:id="rId1"/>
    <sheet name="2. Consolidated" sheetId="5" r:id="rId2"/>
    <sheet name="3. Earnings Build" sheetId="30" r:id="rId3"/>
    <sheet name="4. Summary Model" sheetId="43" r:id="rId4"/>
  </sheets>
  <definedNames>
    <definedName name="\A">#REF!</definedName>
    <definedName name="\B">#REF!</definedName>
    <definedName name="\C">#REF!</definedName>
    <definedName name="\L">#REF!</definedName>
    <definedName name="\M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\Z">#REF!</definedName>
    <definedName name="_">#REF!</definedName>
    <definedName name="___WHO2" hidden="1">{#N/A,#N/A,FALSE,"SUMMARY";#N/A,#N/A,FALSE,"DETAIL";#N/A,#N/A,FALSE,"VARIANCE"}</definedName>
    <definedName name="__123Graph_A" localSheetId="0" hidden="1">#REF!</definedName>
    <definedName name="__123Graph_A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FDS_HYPERLINK_TOGGLE_STATE__" hidden="1">"ON"</definedName>
    <definedName name="__FDS_UNIQUE_RANGE_ID_GENERATOR_COUNTER" hidden="1">3</definedName>
    <definedName name="__FDS_USED_FOR_REUSING_RANGE_IDS_RECYCLE" hidden="1">{1500,482}</definedName>
    <definedName name="_1__FDSAUDITLINK__" hidden="1">{"fdsup://directions/FAT Viewer?action=UPDATE&amp;creator=factset&amp;DYN_ARGS=TRUE&amp;DOC_NAME=FAT:FQL_AUDITING_CLIENT_TEMPLATE.FAT&amp;display_string=Audit&amp;VAR:KEY=FGRIJIZANY&amp;VAR:QUERY=KChGRl9FTlRSUFJfVkFMX0RBSUxZKDQwNjM0LCwsLCwnRElMJykvSUNfRVNUSU1BVEUoRUJJVERBLE1FQU4sT","lRNXzRRLCw0MDYzNCkpQEZFX1ZBTFVBVElPTignRVZfRUJJVERBJywnTUVBTicsJ05UTUEnLCcnLDQwNjM0LCwsJycpKQ==&amp;WINDOW=FIRST_POPUP&amp;HEIGHT=450&amp;WIDTH=450&amp;START_MAXIMIZED=FALSE&amp;VAR:CALENDAR=US&amp;VAR:SYMBOL=RL&amp;VAR:INDEX=0"}</definedName>
    <definedName name="_10__FDSAUDITLINK__" hidden="1">{"fdsup://directions/FAT Viewer?action=UPDATE&amp;creator=factset&amp;DYN_ARGS=TRUE&amp;DOC_NAME=FAT:FQL_AUDITING_CLIENT_TEMPLATE.FAT&amp;display_string=Audit&amp;VAR:KEY=NCRKBYLSDY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JWN&amp;VAR:INDEX=0"}</definedName>
    <definedName name="_10_0pf1">#REF!</definedName>
    <definedName name="_100__FDSAUDITLINK__" hidden="1">{"fdsup://directions/FAT Viewer?action=UPDATE&amp;creator=factset&amp;DYN_ARGS=TRUE&amp;DOC_NAME=FAT:FQL_AUDITING_CLIENT_TEMPLATE.FAT&amp;display_string=Audit&amp;VAR:KEY=ONSTSDGVUR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KSS&amp;VAR:INDEX=0"}</definedName>
    <definedName name="_101__FDSAUDITLINK__" hidden="1">{"fdsup://directions/FAT Viewer?action=UPDATE&amp;creator=factset&amp;DYN_ARGS=TRUE&amp;DOC_NAME=FAT:FQL_AUDITING_CLIENT_TEMPLATE.FAT&amp;display_string=Audit&amp;VAR:KEY=KREJYNURQL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ROST&amp;VAR:INDEX=0"}</definedName>
    <definedName name="_102__FDSAUDITLINK__" hidden="1">{"fdsup://directions/FAT Viewer?action=UPDATE&amp;creator=factset&amp;DYN_ARGS=TRUE&amp;DOC_NAME=FAT:FQL_AUDITING_CLIENT_TEMPLATE.FAT&amp;display_string=Audit&amp;VAR:KEY=AFMLKDQNKP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TJX&amp;VAR:INDEX=0"}</definedName>
    <definedName name="_103__FDSAUDITLINK__" hidden="1">{"fdsup://directions/FAT Viewer?action=UPDATE&amp;creator=factset&amp;DYN_ARGS=TRUE&amp;DOC_NAME=FAT:FQL_AUDITING_CLIENT_TEMPLATE.FAT&amp;display_string=Audit&amp;VAR:KEY=SRENMHIFOF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DLTR&amp;VAR:INDEX=0"}</definedName>
    <definedName name="_104__FDSAUDITLINK__" hidden="1">{"fdsup://directions/FAT Viewer?action=UPDATE&amp;creator=factset&amp;DYN_ARGS=TRUE&amp;DOC_NAME=FAT:FQL_AUDITING_CLIENT_TEMPLATE.FAT&amp;display_string=Audit&amp;VAR:KEY=GNUBEZMHIH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FDO&amp;VAR:INDEX=0"}</definedName>
    <definedName name="_105__FDSAUDITLINK__" hidden="1">{"fdsup://directions/FAT Viewer?action=UPDATE&amp;creator=factset&amp;DYN_ARGS=TRUE&amp;DOC_NAME=FAT:FQL_AUDITING_CLIENT_TEMPLATE.FAT&amp;display_string=Audit&amp;VAR:KEY=SHUPOPOXIR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COST&amp;VAR:INDEX=0"}</definedName>
    <definedName name="_106__FDSAUDITLINK__" hidden="1">{"fdsup://directions/FAT Viewer?action=UPDATE&amp;creator=factset&amp;DYN_ARGS=TRUE&amp;DOC_NAME=FAT:FQL_AUDITING_CLIENT_TEMPLATE.FAT&amp;display_string=Audit&amp;VAR:KEY=KPWRCLYHQR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TGT&amp;VAR:INDEX=0"}</definedName>
    <definedName name="_107_._0Restructuring_char">#REF!</definedName>
    <definedName name="_107__FDSAUDITLINK__" hidden="1">{"fdsup://directions/FAT Viewer?action=UPDATE&amp;creator=factset&amp;DYN_ARGS=TRUE&amp;DOC_NAME=FAT:FQL_AUDITING_CLIENT_TEMPLATE.FAT&amp;display_string=Audit&amp;VAR:KEY=GPGVAJKJAV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WMT&amp;VAR:INDEX=0"}</definedName>
    <definedName name="_108_._0Restructuring_char">#REF!</definedName>
    <definedName name="_1099__FDSAUDITLINK__" hidden="1">{"fdsup://directions/FAT Viewer?action=UPDATE&amp;creator=factset&amp;DYN_ARGS=TRUE&amp;DOC_NAME=FAT:FQL_AUDITING_CLIENT_TEMPLATE.FAT&amp;display_string=Audit&amp;VAR:KEY=RSXIJUBYHY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464373&amp;VAR:INDEX=0"}</definedName>
    <definedName name="_11__FDSAUDITLINK__" hidden="1">{"fdsup://directions/FAT Viewer?action=UPDATE&amp;creator=factset&amp;DYN_ARGS=TRUE&amp;DOC_NAME=FAT:FQL_AUDITING_CLIENT_TEMPLATE.FAT&amp;display_string=Audit&amp;VAR:KEY=LUVEJKHMRY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DDS&amp;VAR:INDEX=0"}</definedName>
    <definedName name="_1104__FDSAUDITLINK__" hidden="1">{"fdsup://directions/FAT Viewer?action=UPDATE&amp;creator=factset&amp;DYN_ARGS=TRUE&amp;DOC_NAME=FAT:FQL_AUDITING_CLIENT_TEMPLATE.FAT&amp;display_string=Audit&amp;VAR:KEY=BIRELSROLQ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525397&amp;VAR:INDEX=0"}</definedName>
    <definedName name="_1105__FDSAUDITLINK__" hidden="1">{"fdsup://directions/FAT Viewer?action=UPDATE&amp;creator=factset&amp;DYN_ARGS=TRUE&amp;DOC_NAME=FAT:FQL_AUDITING_CLIENT_TEMPLATE.FAT&amp;display_string=Audit&amp;VAR:KEY=VAHCPAZMNO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525647&amp;VAR:INDEX=0"}</definedName>
    <definedName name="_1116__FDSAUDITLINK__" hidden="1">{"fdsup://directions/FAT Viewer?action=UPDATE&amp;creator=factset&amp;DYN_ARGS=TRUE&amp;DOC_NAME=FAT:FQL_AUDITING_CLIENT_TEMPLATE.FAT&amp;display_string=Audit&amp;VAR:KEY=LSRQHUJMNE&amp;VAR:QUERY=KChGRl9FTlRSUFJfVkFMX0RBSUxZKDQwNjk3LCwsLCwnRElMJykvSUNfRVNUSU1BVEUoRUJJVERBLE1FQU4sT","lRNXzRRLCw0MDY5NykpQEZFX1ZBTFVBVElPTignRVZfRUJJVERBJywnTUVBTicsJ05UTUEnLCcnLDQwNjk3LCwsJycpKQ==&amp;WINDOW=FIRST_POPUP&amp;HEIGHT=450&amp;WIDTH=450&amp;START_MAXIMIZED=FALSE&amp;VAR:CALENDAR=US&amp;VAR:SYMBOL=718472&amp;VAR:INDEX=0"}</definedName>
    <definedName name="_1117__FDSAUDITLINK__" hidden="1">{"fdsup://directions/FAT Viewer?action=UPDATE&amp;creator=factset&amp;DYN_ARGS=TRUE&amp;DOC_NAME=FAT:FQL_AUDITING_CLIENT_TEMPLATE.FAT&amp;display_string=Audit&amp;VAR:KEY=DIFYTGVGBI&amp;VAR:QUERY=KChGRl9FTlRSUFJfVkFMX0RBSUxZKDQwNjk3LCwsLCwnRElMJykvSUNfRVNUSU1BVEUoRUJJVERBLE1FQU4sT","lRNXzRRLCw0MDY5NykpQEZFX1ZBTFVBVElPTignRVZfRUJJVERBJywnTUVBTicsJ05UTUEnLCcnLDQwNjk3LCwsJycpKQ==&amp;WINDOW=FIRST_POPUP&amp;HEIGHT=450&amp;WIDTH=450&amp;START_MAXIMIZED=FALSE&amp;VAR:CALENDAR=US&amp;VAR:SYMBOL=464373&amp;VAR:INDEX=0"}</definedName>
    <definedName name="_1121__FDSAUDITLINK__" hidden="1">{"fdsup://directions/FAT Viewer?action=UPDATE&amp;creator=factset&amp;DYN_ARGS=TRUE&amp;DOC_NAME=FAT:FQL_AUDITING_CLIENT_TEMPLATE.FAT&amp;display_string=Audit&amp;VAR:KEY=LAZQHERAJC&amp;VAR:QUERY=KChGRl9FTlRSUFJfVkFMX0RBSUxZKDQwNjk3LCwsLCwnRElMJykvSUNfRVNUSU1BVEUoRUJJVERBLE1FQU4sT","lRNXzRRLCw0MDY5NykpQEZFX1ZBTFVBVElPTignRVZfRUJJVERBJywnTUVBTicsJ05UTUEnLCcnLDQwNjk3LCwsJycpKQ==&amp;WINDOW=FIRST_POPUP&amp;HEIGHT=450&amp;WIDTH=450&amp;START_MAXIMIZED=FALSE&amp;VAR:CALENDAR=US&amp;VAR:SYMBOL=525397&amp;VAR:INDEX=0"}</definedName>
    <definedName name="_1122__FDSAUDITLINK__" hidden="1">{"fdsup://directions/FAT Viewer?action=UPDATE&amp;creator=factset&amp;DYN_ARGS=TRUE&amp;DOC_NAME=FAT:FQL_AUDITING_CLIENT_TEMPLATE.FAT&amp;display_string=Audit&amp;VAR:KEY=LCDEFWDQJG&amp;VAR:QUERY=KChGRl9FTlRSUFJfVkFMX0RBSUxZKDQwNjk3LCwsLCwnRElMJykvSUNfRVNUSU1BVEUoRUJJVERBLE1FQU4sT","lRNXzRRLCw0MDY5NykpQEZFX1ZBTFVBVElPTignRVZfRUJJVERBJywnTUVBTicsJ05UTUEnLCcnLDQwNjk3LCwsJycpKQ==&amp;WINDOW=FIRST_POPUP&amp;HEIGHT=450&amp;WIDTH=450&amp;START_MAXIMIZED=FALSE&amp;VAR:CALENDAR=US&amp;VAR:SYMBOL=525647&amp;VAR:INDEX=0"}</definedName>
    <definedName name="_1128__FDSAUDITLINK__" hidden="1">{"fdsup://directions/FAT Viewer?action=UPDATE&amp;creator=factset&amp;DYN_ARGS=TRUE&amp;DOC_NAME=FAT:FQL_AUDITING_CLIENT_TEMPLATE.FAT&amp;display_string=Audit&amp;VAR:KEY=QRMBSPWLWJ&amp;VAR:QUERY=KChGRl9FTlRSUFJfVkFMX0RBSUxZKDQwNzQ2LCwsLCwnRElMJykvSUNfRVNUSU1BVEUoRUJJVERBLE1FQU4sT","lRNXzRRLCw0MDc0NikpQEZFX1ZBTFVBVElPTignRVZfRUJJVERBJywnTUVBTicsJ05UTUEnLCcnLDQwNzQ2LCwsJycpKQ==&amp;WINDOW=FIRST_POPUP&amp;HEIGHT=450&amp;WIDTH=450&amp;START_MAXIMIZED=FALSE&amp;VAR:CALENDAR=US&amp;VAR:SYMBOL=SKS&amp;VAR:INDEX=0"}</definedName>
    <definedName name="_1136__FDSAUDITLINK__" hidden="1">{"fdsup://directions/FAT Viewer?action=UPDATE&amp;creator=factset&amp;DYN_ARGS=TRUE&amp;DOC_NAME=FAT:FQL_AUDITING_CLIENT_TEMPLATE.FAT&amp;display_string=Audit&amp;VAR:KEY=GLKPOHQJSV&amp;VAR:QUERY=KChGRl9FTlRSUFJfVkFMX0RBSUxZKDQwNzQ2LCwsLCwnRElMJykvSUNfRVNUSU1BVEUoRUJJVERBLE1FQU4sT","lRNXzRRLCw0MDc0NikpQEZFX1ZBTFVBVElPTignRVZfRUJJVERBJywnTUVBTicsJ05UTUEnLCcnLDQwNzQ2LCwsJycpKQ==&amp;WINDOW=FIRST_POPUP&amp;HEIGHT=450&amp;WIDTH=450&amp;START_MAXIMIZED=FALSE&amp;VAR:CALENDAR=US&amp;VAR:SYMBOL=406141&amp;VAR:INDEX=0"}</definedName>
    <definedName name="_1137__FDSAUDITLINK__" hidden="1">{"fdsup://directions/FAT Viewer?action=UPDATE&amp;creator=factset&amp;DYN_ARGS=TRUE&amp;DOC_NAME=FAT:FQL_AUDITING_CLIENT_TEMPLATE.FAT&amp;display_string=Audit&amp;VAR:KEY=GHQZWDSROF&amp;VAR:QUERY=KChGRl9FTlRSUFJfVkFMX0RBSUxZKDQwNzUzLCwsLCwnRElMJykvSUNfRVNUSU1BVEUoRUJJVERBLE1FQU4sT","lRNXzRRLCw0MDc1MykpQEZFX1ZBTFVBVElPTignRVZfRUJJVERBJywnTUVBTicsJ05UTUEnLCcnLDQwNzUzLCwsJycpKQ==&amp;WINDOW=FIRST_POPUP&amp;HEIGHT=450&amp;WIDTH=450&amp;START_MAXIMIZED=FALSE&amp;VAR:CALENDAR=US&amp;VAR:SYMBOL=TIF&amp;VAR:INDEX=0"}</definedName>
    <definedName name="_1138__FDSAUDITLINK__" hidden="1">{"fdsup://directions/FAT Viewer?action=UPDATE&amp;creator=factset&amp;DYN_ARGS=TRUE&amp;DOC_NAME=FAT:FQL_AUDITING_CLIENT_TEMPLATE.FAT&amp;display_string=Audit&amp;VAR:KEY=JGXMTOVMXC&amp;VAR:QUERY=KChGRl9FTlRSUFJfVkFMX0RBSUxZKDQwNzM5LCwsLCwnRElMJykvSUNfRVNUSU1BVEUoRUJJVERBLE1FQU4sT","lRNXzRRLCw0MDczOSkpQEZFX1ZBTFVBVElPTignRVZfRUJJVERBJywnTUVBTicsJ05UTUEnLCcnLDQwNzM5LCwsJycpKQ==&amp;WINDOW=FIRST_POPUP&amp;HEIGHT=450&amp;WIDTH=450&amp;START_MAXIMIZED=FALSE&amp;VAR:CALENDAR=US&amp;VAR:SYMBOL=550507&amp;VAR:INDEX=0"}</definedName>
    <definedName name="_1148__FDSAUDITLINK__" hidden="1">{"fdsup://directions/FAT Viewer?action=UPDATE&amp;creator=factset&amp;DYN_ARGS=TRUE&amp;DOC_NAME=FAT:FQL_AUDITING_CLIENT_TEMPLATE.FAT&amp;display_string=Audit&amp;VAR:KEY=XGVMRCNUJM&amp;VAR:QUERY=KChGRl9FTlRSUFJfVkFMX0RBSUxZKDQwNzM5LCwsLCwnRElMJykvSUNfRVNUSU1BVEUoRUJJVERBLE1FQU4sT","lRNXzRRLCw0MDczOSkpQEZFX1ZBTFVBVElPTignRVZfRUJJVERBJywnTUVBTicsJ05UTUEnLCcnLDQwNzM5LCwsJycpKQ==&amp;WINDOW=FIRST_POPUP&amp;HEIGHT=450&amp;WIDTH=450&amp;START_MAXIMIZED=FALSE&amp;VAR:CALENDAR=US&amp;VAR:SYMBOL=525397&amp;VAR:INDEX=0"}</definedName>
    <definedName name="_1149__FDSAUDITLINK__" hidden="1">{"fdsup://directions/FAT Viewer?action=UPDATE&amp;creator=factset&amp;DYN_ARGS=TRUE&amp;DOC_NAME=FAT:FQL_AUDITING_CLIENT_TEMPLATE.FAT&amp;display_string=Audit&amp;VAR:KEY=NSZKTKRMXA&amp;VAR:QUERY=KChGRl9FTlRSUFJfVkFMX0RBSUxZKDQwNzM5LCwsLCwnRElMJykvSUNfRVNUSU1BVEUoRUJJVERBLE1FQU4sT","lRNXzRRLCw0MDczOSkpQEZFX1ZBTFVBVElPTignRVZfRUJJVERBJywnTUVBTicsJ05UTUEnLCcnLDQwNzM5LCwsJycpKQ==&amp;WINDOW=FIRST_POPUP&amp;HEIGHT=450&amp;WIDTH=450&amp;START_MAXIMIZED=FALSE&amp;VAR:CALENDAR=US&amp;VAR:SYMBOL=525647&amp;VAR:INDEX=0"}</definedName>
    <definedName name="_116_._0SGA_gro">#REF!</definedName>
    <definedName name="_117_._0SGA_gro">#REF!</definedName>
    <definedName name="_12__FDSAUDITLINK__" hidden="1">{"fdsup://directions/FAT Viewer?action=UPDATE&amp;creator=factset&amp;DYN_ARGS=TRUE&amp;DOC_NAME=FAT:FQL_AUDITING_CLIENT_TEMPLATE.FAT&amp;display_string=Audit&amp;VAR:KEY=PQLCXOZABA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JCP&amp;VAR:INDEX=0"}</definedName>
    <definedName name="_1230__FDSAUDITLINK__" hidden="1">{"fdsup://directions/FAT Viewer?action=UPDATE&amp;creator=factset&amp;DYN_ARGS=TRUE&amp;DOC_NAME=FAT:FQL_AUDITING_CLIENT_TEMPLATE.FAT&amp;display_string=Audit&amp;VAR:KEY=HQPGFEPIJC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KSS&amp;VAR:INDEX=0"}</definedName>
    <definedName name="_1231__FDSAUDITLINK__" hidden="1">{"fdsup://directions/FAT Viewer?action=UPDATE&amp;creator=factset&amp;DYN_ARGS=TRUE&amp;DOC_NAME=FAT:FQL_AUDITING_CLIENT_TEMPLATE.FAT&amp;display_string=Audit&amp;VAR:KEY=FSBYXGHSRG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ROST&amp;VAR:INDEX=0"}</definedName>
    <definedName name="_1232__FDSAUDITLINK__" hidden="1">{"fdsup://directions/FAT Viewer?action=UPDATE&amp;creator=factset&amp;DYN_ARGS=TRUE&amp;DOC_NAME=FAT:FQL_AUDITING_CLIENT_TEMPLATE.FAT&amp;display_string=Audit&amp;VAR:KEY=JYJQNGPGTA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TJX&amp;VAR:INDEX=0"}</definedName>
    <definedName name="_1233__FDSAUDITLINK__" hidden="1">{"fdsup://directions/FAT Viewer?action=UPDATE&amp;creator=factset&amp;DYN_ARGS=TRUE&amp;DOC_NAME=FAT:FQL_AUDITING_CLIENT_TEMPLATE.FAT&amp;display_string=Audit&amp;VAR:KEY=BEPUVEPWPQ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DLTR&amp;VAR:INDEX=0"}</definedName>
    <definedName name="_1234__FDSAUDITLINK__" hidden="1">{"fdsup://directions/FAT Viewer?action=UPDATE&amp;creator=factset&amp;DYN_ARGS=TRUE&amp;DOC_NAME=FAT:FQL_AUDITING_CLIENT_TEMPLATE.FAT&amp;display_string=Audit&amp;VAR:KEY=NOLKREDQLO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FDO&amp;VAR:INDEX=0"}</definedName>
    <definedName name="_1235__FDSAUDITLINK__" hidden="1">{"fdsup://directions/FAT Viewer?action=UPDATE&amp;creator=factset&amp;DYN_ARGS=TRUE&amp;DOC_NAME=FAT:FQL_AUDITING_CLIENT_TEMPLATE.FAT&amp;display_string=Audit&amp;VAR:KEY=FYJYZERKDE&amp;VAR:QUERY=KChGRl9FTlRSUFJfVkFMX0RBSUxZKDQwNjY5LCwsLCwnRElMJykvSUNfRVNUSU1BVEUoRUJJVERBX0VOVU1FU","kFUSU9OLE1FQU5fRU5VTUVSQVRJT04sTlRNXzRRX0VOVU1FUkFUSU9OLCw0MDY2OSkpQEZFX1ZBTFVBVElPTignRVZfRUJJVERBJywnTUVBTicsJ05UTUEnLCcnLDQwNjY5LCwsJycpKQ==&amp;WINDOW=FIRST_POPUP&amp;HEIGHT=450&amp;WIDTH=450&amp;START_MAXIMIZED=FALSE&amp;VAR:CALENDAR=US&amp;VAR:SYMBOL=JWN&amp;VAR:INDEX=0"}</definedName>
    <definedName name="_1245__FDSAUDITLINK__" hidden="1">{"fdsup://directions/FAT Viewer?action=UPDATE&amp;creator=factset&amp;DYN_ARGS=TRUE&amp;DOC_NAME=FAT:FQL_AUDITING_CLIENT_TEMPLATE.FAT&amp;display_string=Audit&amp;VAR:KEY=PCLWVATWNG&amp;VAR:QUERY=KChGRl9FTlRSUFJfVkFMX0RBSUxZKDQwNjc2LCwsLCwnRElMJykvSUNfRVNUSU1BVEUoRUJJVERBX0VOVU1FU","kFUSU9OLE1FQU5fRU5VTUVSQVRJT04sTlRNXzRRX0VOVU1FUkFUSU9OLCw0MDY3NikpQEZFX1ZBTFVBVElPTignRVZfRUJJVERBJywnTUVBTicsJ05UTUEnLCcnLDQwNjc2LCwsJycpKQ==&amp;WINDOW=FIRST_POPUP&amp;HEIGHT=450&amp;WIDTH=450&amp;START_MAXIMIZED=FALSE&amp;VAR:CALENDAR=US&amp;VAR:SYMBOL=COST&amp;VAR:INDEX=0"}</definedName>
    <definedName name="_1246__FDSAUDITLINK__" hidden="1">{"fdsup://directions/FAT Viewer?action=UPDATE&amp;creator=factset&amp;DYN_ARGS=TRUE&amp;DOC_NAME=FAT:FQL_AUDITING_CLIENT_TEMPLATE.FAT&amp;display_string=Audit&amp;VAR:KEY=XKJEPUHOLK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SHLD&amp;VAR:INDEX=0"}</definedName>
    <definedName name="_1247__FDSAUDITLINK__" hidden="1">{"fdsup://directions/FAT Viewer?action=UPDATE&amp;creator=factset&amp;DYN_ARGS=TRUE&amp;DOC_NAME=FAT:FQL_AUDITING_CLIENT_TEMPLATE.FAT&amp;display_string=Audit&amp;VAR:KEY=JEXYTUDYZU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SWY&amp;VAR:INDEX=0"}</definedName>
    <definedName name="_1248__FDSAUDITLINK__" hidden="1">{"fdsup://directions/FAT Viewer?action=UPDATE&amp;creator=factset&amp;DYN_ARGS=TRUE&amp;DOC_NAME=FAT:FQL_AUDITING_CLIENT_TEMPLATE.FAT&amp;display_string=Audit&amp;VAR:KEY=RIPCLUVCPW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KR&amp;VAR:INDEX=0"}</definedName>
    <definedName name="_1249__FDSAUDITLINK__" hidden="1">{"fdsup://directions/FAT Viewer?action=UPDATE&amp;creator=factset&amp;DYN_ARGS=TRUE&amp;DOC_NAME=FAT:FQL_AUDITING_CLIENT_TEMPLATE.FAT&amp;display_string=Audit&amp;VAR:KEY=LKBUZKROJA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M&amp;VAR:INDEX=0"}</definedName>
    <definedName name="_125_._0Shares_repurchase_liabil">#REF!</definedName>
    <definedName name="_1250__FDSAUDITLINK__" hidden="1">{"fdsup://directions/FAT Viewer?action=UPDATE&amp;creator=factset&amp;DYN_ARGS=TRUE&amp;DOC_NAME=FAT:FQL_AUDITING_CLIENT_TEMPLATE.FAT&amp;display_string=Audit&amp;VAR:KEY=NYZGRMLWDY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JCP&amp;VAR:INDEX=0"}</definedName>
    <definedName name="_1257__FDSAUDITLINK__" hidden="1">{"fdsup://directions/FAT Viewer?action=UPDATE&amp;creator=factset&amp;DYN_ARGS=TRUE&amp;DOC_NAME=FAT:FQL_AUDITING_CLIENT_TEMPLATE.FAT&amp;display_string=Audit&amp;VAR:KEY=TAPCTURINW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WMT&amp;VAR:INDEX=0"}</definedName>
    <definedName name="_126_._0Shares_repurchase_liabil">#REF!</definedName>
    <definedName name="_13__FDSAUDITLINK__" hidden="1">{"fdsup://directions/FAT Viewer?action=UPDATE&amp;creator=factset&amp;DYN_ARGS=TRUE&amp;DOC_NAME=FAT:FQL_AUDITING_CLIENT_TEMPLATE.FAT&amp;display_string=Audit&amp;VAR:KEY=TMDETIHKXY&amp;VAR:QUERY=KChGRl9FTlRSUFJfVkFMX0RBSUxZKDQwNjQxLCwsLCwnRElMJykvSUNfRVNUSU1BVEUoRUJJVERBLE1FQU4sT","lRNXzRRLCw0MDY0MSkpQEZFX1ZBTFVBVElPTignRVZfRUJJVERBJywnTUVBTicsJ05UTUEnLCcnLDQwNjQxLCwsJycpKQ==&amp;WINDOW=FIRST_POPUP&amp;HEIGHT=450&amp;WIDTH=450&amp;START_MAXIMIZED=FALSE&amp;VAR:CALENDAR=US&amp;VAR:SYMBOL=RL&amp;VAR:INDEX=0"}</definedName>
    <definedName name="_134_0FAMERangeSheet">#REF!</definedName>
    <definedName name="_135_0FAMERangeSheet">#REF!</definedName>
    <definedName name="_14__FDSAUDITLINK__" hidden="1">{"fdsup://directions/FAT Viewer?action=UPDATE&amp;creator=factset&amp;DYN_ARGS=TRUE&amp;DOC_NAME=FAT:FQL_AUDITING_CLIENT_TEMPLATE.FAT&amp;display_string=Audit&amp;VAR:KEY=VSFADMNSVO&amp;VAR:QUERY=KChGRl9FTlRSUFJfVkFMX0RBSUxZKDQwNjQxLCwsLCwnRElMJykvSUNfRVNUSU1BVEUoRUJJVERBLE1FQU4sT","lRNXzRRLCw0MDY0MSkpQEZFX1ZBTFVBVElPTignRVZfRUJJVERBJywnTUVBTicsJ05UTUEnLCcnLDQwNjQxLCwsJycpKQ==&amp;WINDOW=FIRST_POPUP&amp;HEIGHT=450&amp;WIDTH=450&amp;START_MAXIMIZED=FALSE&amp;VAR:CALENDAR=US&amp;VAR:SYMBOL=TIF&amp;VAR:INDEX=0"}</definedName>
    <definedName name="_143_0FAMERangeSheet">#REF!</definedName>
    <definedName name="_144_0FAMERangeSheet">#REF!</definedName>
    <definedName name="_15__FDSAUDITLINK__" hidden="1">{"fdsup://directions/FAT Viewer?action=UPDATE&amp;creator=factset&amp;DYN_ARGS=TRUE&amp;DOC_NAME=FAT:FQL_AUDITING_CLIENT_TEMPLATE.FAT&amp;display_string=Audit&amp;VAR:KEY=JGNMHCPOXC&amp;VAR:QUERY=KChGRl9FTlRSUFJfVkFMX0RBSUxZKDQwNjQ4LCwsLCwnRElMJykvSUNfRVNUSU1BVEUoRUJJVERBLE1FQU4sT","lRNXzRRLCw0MDY0OCkpQEZFX1ZBTFVBVElPTignRVZfRUJJVERBJywnTUVBTicsJ05UTUEnLCcnLDQwNjQ4LCwsJycpKQ==&amp;WINDOW=FIRST_POPUP&amp;HEIGHT=450&amp;WIDTH=450&amp;START_MAXIMIZED=FALSE&amp;VAR:CALENDAR=US&amp;VAR:SYMBOL=RL&amp;VAR:INDEX=0"}</definedName>
    <definedName name="_152_0FAMERangeSheet">#REF!</definedName>
    <definedName name="_153_0FAMERangeSheet">#REF!</definedName>
    <definedName name="_16__FDSAUDITLINK__" hidden="1">{"fdsup://directions/FAT Viewer?action=UPDATE&amp;creator=factset&amp;DYN_ARGS=TRUE&amp;DOC_NAME=FAT:FQL_AUDITING_CLIENT_TEMPLATE.FAT&amp;display_string=Audit&amp;VAR:KEY=ZITCRYXMZO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TJX&amp;VAR:INDEX=0"}</definedName>
    <definedName name="_161_0FAMERangeSheet">#REF!</definedName>
    <definedName name="_162_0FAMERangeSheet">#REF!</definedName>
    <definedName name="_17__FDSAUDITLINK__" hidden="1">{"fdsup://directions/FAT Viewer?action=UPDATE&amp;creator=factset&amp;DYN_ARGS=TRUE&amp;DOC_NAME=FAT:FQL_AUDITING_CLIENT_TEMPLATE.FAT&amp;display_string=Audit&amp;VAR:KEY=ZKLKRKXSVY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DLTR&amp;VAR:INDEX=0"}</definedName>
    <definedName name="_17_0UniqueRang">#REF!</definedName>
    <definedName name="_170_0FAMERangeSheet">#REF!</definedName>
    <definedName name="_171_0FAMERangeSheet">#REF!</definedName>
    <definedName name="_179_0FAMERangeSheet">#REF!</definedName>
    <definedName name="_18__FDSAUDITLINK__" hidden="1">{"fdsup://directions/FAT Viewer?action=UPDATE&amp;creator=factset&amp;DYN_ARGS=TRUE&amp;DOC_NAME=FAT:FQL_AUDITING_CLIENT_TEMPLATE.FAT&amp;display_string=Audit&amp;VAR:KEY=FIVYFODMDQ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FDO&amp;VAR:INDEX=0"}</definedName>
    <definedName name="_18_0UniqueRang">#REF!</definedName>
    <definedName name="_180_0FAMERangeSheet">#REF!</definedName>
    <definedName name="_188_0FAMERangeSheet">#REF!</definedName>
    <definedName name="_189_0FAMERangeSheet">#REF!</definedName>
    <definedName name="_19__FDSAUDITLINK__" hidden="1">{"fdsup://directions/FAT Viewer?action=UPDATE&amp;creator=factset&amp;DYN_ARGS=TRUE&amp;DOC_NAME=FAT:FQL_AUDITING_CLIENT_TEMPLATE.FAT&amp;display_string=Audit&amp;VAR:KEY=NYFSJWNQJK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BJ&amp;VAR:INDEX=0"}</definedName>
    <definedName name="_1911__FDSAUDITLINK__" hidden="1">{"fdsup://directions/FAT Viewer?action=UPDATE&amp;creator=factset&amp;DYN_ARGS=TRUE&amp;DOC_NAME=FAT:FQL_AUDITING_CLIENT_TEMPLATE.FAT&amp;display_string=Audit&amp;VAR:KEY=BQLGXOXQVY&amp;VAR:QUERY=KChGRl9FTlRSUFJfVkFMX0RBSUxZKDQxMDY4LCwsLCwnRElMJykgLyBJQ19FU1RJTUFURShFQklUREEsTUVBT","ixOVE1fNFEsLDQxMDY4KSlARkVfVkFMVUFUSU9OKCdFVl9FQklUREEnLCdNRUFOJywnTlRNQScsJycsNDEwNjgsLCwnJykp&amp;WINDOW=FIRST_POPUP&amp;HEIGHT=450&amp;WIDTH=450&amp;START_MAXIMIZED=FALSE&amp;VAR:CALENDAR=US&amp;VAR:SYMBOL=LOW&amp;VAR:INDEX=0"}</definedName>
    <definedName name="_1912__FDSAUDITLINK__" hidden="1">{"fdsup://directions/FAT Viewer?action=UPDATE&amp;creator=factset&amp;DYN_ARGS=TRUE&amp;DOC_NAME=FAT:FQL_AUDITING_CLIENT_TEMPLATE.FAT&amp;display_string=Audit&amp;VAR:KEY=HSJEPMFUDY&amp;VAR:QUERY=KChGRl9FTlRSUFJfVkFMX0RBSUxZKDQxMDY4LCwsLCwnRElMJykgLyBJQ19FU1RJTUFURShFQklUREEsTUVBT","ixOVE1fNFEsLDQxMDY4KSlARkVfVkFMVUFUSU9OKCdFVl9FQklUREEnLCdNRUFOJywnTlRNQScsJycsNDEwNjgsLCwnJykp&amp;WINDOW=FIRST_POPUP&amp;HEIGHT=450&amp;WIDTH=450&amp;START_MAXIMIZED=FALSE&amp;VAR:CALENDAR=US&amp;VAR:SYMBOL=HD&amp;VAR:INDEX=0"}</definedName>
    <definedName name="_1915__FDSAUDITLINK__" hidden="1">{"fdsup://directions/FAT Viewer?action=UPDATE&amp;creator=factset&amp;DYN_ARGS=TRUE&amp;DOC_NAME=FAT:FQL_AUDITING_CLIENT_TEMPLATE.FAT&amp;display_string=Audit&amp;VAR:KEY=FERMDYJGDE&amp;VAR:QUERY=KChGRl9FTlRSUFJfVkFMX0RBSUxZKDQxMDY4LCwsLCwnRElMJykgLyBJQ19FU1RJTUFURShFQklUREEsTUVBT","ixOVE1fNFEsLDQxMDY4KSlARkVfVkFMVUFUSU9OKCdFVl9FQklUREEnLCdNRUFOJywnTlRNQScsJycsNDEwNjgsLCwnJykp&amp;WINDOW=FIRST_POPUP&amp;HEIGHT=450&amp;WIDTH=450&amp;START_MAXIMIZED=FALSE&amp;VAR:CALENDAR=US&amp;VAR:SYMBOL=VFC&amp;VAR:INDEX=0"}</definedName>
    <definedName name="_1916__FDSAUDITLINK__" hidden="1">{"fdsup://directions/FAT Viewer?action=UPDATE&amp;creator=factset&amp;DYN_ARGS=TRUE&amp;DOC_NAME=FAT:FQL_AUDITING_CLIENT_TEMPLATE.FAT&amp;display_string=Audit&amp;VAR:KEY=FYPITIBSFC&amp;VAR:QUERY=KChGRl9FTlRSUFJfVkFMX0RBSUxZKDQxMDY4LCwsLCwnRElMJykgLyBJQ19FU1RJTUFURShFQklUREEsTUVBT","ixOVE1fNFEsLDQxMDY4KSlARkVfVkFMVUFUSU9OKCdFVl9FQklUREEnLCdNRUFOJywnTlRNQScsJycsNDEwNjgsLCwnJykp&amp;WINDOW=FIRST_POPUP&amp;HEIGHT=450&amp;WIDTH=450&amp;START_MAXIMIZED=FALSE&amp;VAR:CALENDAR=US&amp;VAR:SYMBOL=DG&amp;VAR:INDEX=0"}</definedName>
    <definedName name="_1921__FDSAUDITLINK__" hidden="1">{"fdsup://directions/FAT Viewer?action=UPDATE&amp;creator=factset&amp;DYN_ARGS=TRUE&amp;DOC_NAME=FAT:FQL_AUDITING_CLIENT_TEMPLATE.FAT&amp;display_string=Audit&amp;VAR:KEY=BWDEJYHIXU&amp;VAR:QUERY=KChGRl9FTlRSUFJfVkFMX0RBSUxZKDQxMDg4LCwsLCwnRElMJykgLyBJQ19FU1RJTUFURShFQklUREEsTUVBT","ixOVE1fNFEsLDQxMDg4KSlARkVfVkFMVUFUSU9OKCdFVl9FQklUREEnLCdNRUFOJywnTlRNQScsJycsNDEwODgsLCwnJykp&amp;WINDOW=FIRST_POPUP&amp;HEIGHT=450&amp;WIDTH=450&amp;START_MAXIMIZED=FALSE&amp;VAR:CALENDAR=US&amp;VAR:SYMBOL=TIF&amp;VAR:INDEX=0"}</definedName>
    <definedName name="_197_0FAMERangeSheet">#REF!</definedName>
    <definedName name="_198_0FAMERangeSheet">#REF!</definedName>
    <definedName name="_1997BB">#REF!</definedName>
    <definedName name="_1997PL">#REF!</definedName>
    <definedName name="_1997PLQ">#REF!</definedName>
    <definedName name="_1998BB">#REF!</definedName>
    <definedName name="_1998PL">#REF!</definedName>
    <definedName name="_1998PLQ">#REF!</definedName>
    <definedName name="_1999BB">#REF!</definedName>
    <definedName name="_1999PL">#REF!</definedName>
    <definedName name="_1999PLQ">#REF!</definedName>
    <definedName name="_2">#REF!</definedName>
    <definedName name="_2__FDSAUDITLINK__" hidden="1">{"fdsup://directions/FAT Viewer?action=UPDATE&amp;creator=factset&amp;DYN_ARGS=TRUE&amp;DOC_NAME=FAT:FQL_AUDITING_CLIENT_TEMPLATE.FAT&amp;display_string=Audit&amp;VAR:KEY=FSPQNCZMPU&amp;VAR:QUERY=KChGRl9FTlRSUFJfVkFMX0RBSUxZKDQxMTczLCwsLCwnRElMJykgLyBJQ19FU1RJTUFURShFQklUREEsTUVBT","ixOVE1fNFEsLDQxMTczKSlARkVfVkFMVUFUSU9OKCdFVl9FQklUREEnLCdNRUFOJywnTlRNQScsJycsNDExNzMsLCwnJykp&amp;WINDOW=FIRST_POPUP&amp;HEIGHT=450&amp;WIDTH=450&amp;START_MAXIMIZED=FALSE&amp;VAR:CALENDAR=US&amp;VAR:SYMBOL=NILE&amp;VAR:INDEX=0"}</definedName>
    <definedName name="_20__FDSAUDITLINK__" hidden="1">{"fdsup://directions/FAT Viewer?action=UPDATE&amp;creator=factset&amp;DYN_ARGS=TRUE&amp;DOC_NAME=FAT:FQL_AUDITING_CLIENT_TEMPLATE.FAT&amp;display_string=Audit&amp;VAR:KEY=ZWFALEZGLY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TGT&amp;VAR:INDEX=0"}</definedName>
    <definedName name="_20_0_0TWX_Annual_Segments_Cha">#REF!</definedName>
    <definedName name="_2000BB">#REF!</definedName>
    <definedName name="_2000PL">#REF!</definedName>
    <definedName name="_2000PLQ">#REF!</definedName>
    <definedName name="_2001BB">#REF!</definedName>
    <definedName name="_2002BB">#REF!</definedName>
    <definedName name="_2002PL">#REF!</definedName>
    <definedName name="_2002PLQ">#REF!</definedName>
    <definedName name="_2003BB">#REF!</definedName>
    <definedName name="_2003PL">#REF!</definedName>
    <definedName name="_2003PLQ">#REF!</definedName>
    <definedName name="_2004BB">#REF!</definedName>
    <definedName name="_2004PL">#REF!</definedName>
    <definedName name="_2004PLQ">#REF!</definedName>
    <definedName name="_206_0UniqueRang">#REF!</definedName>
    <definedName name="_207_0UniqueRang">#REF!</definedName>
    <definedName name="_21__FDSAUDITLINK__" hidden="1">{"fdsup://directions/FAT Viewer?action=UPDATE&amp;creator=factset&amp;DYN_ARGS=TRUE&amp;DOC_NAME=FAT:FQL_AUDITING_CLIENT_TEMPLATE.FAT&amp;display_string=Audit&amp;VAR:KEY=DUVWPUTCFY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WMT&amp;VAR:INDEX=0"}</definedName>
    <definedName name="_215_0UniqueRang">#REF!</definedName>
    <definedName name="_216_0UniqueRang">#REF!</definedName>
    <definedName name="_22__FDSAUDITLINK__" hidden="1">{"fdsup://directions/FAT Viewer?action=UPDATE&amp;creator=factset&amp;DYN_ARGS=TRUE&amp;DOC_NAME=FAT:FQL_AUDITING_CLIENT_TEMPLATE.FAT&amp;display_string=Audit&amp;VAR:KEY=XQXQRMHQJQ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SWY&amp;VAR:INDEX=0"}</definedName>
    <definedName name="_224_0UniqueRang">#REF!</definedName>
    <definedName name="_225_0UniqueRang">#REF!</definedName>
    <definedName name="_23__FDSAUDITLINK__" hidden="1">{"fdsup://directions/FAT Viewer?action=UPDATE&amp;creator=factset&amp;DYN_ARGS=TRUE&amp;DOC_NAME=FAT:FQL_AUDITING_CLIENT_TEMPLATE.FAT&amp;display_string=Audit&amp;VAR:KEY=RMPWFMTKNY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KR&amp;VAR:INDEX=0"}</definedName>
    <definedName name="_233_0UniqueRange">#REF!</definedName>
    <definedName name="_234_0UniqueRange">#REF!</definedName>
    <definedName name="_24__FDSAUDITLINK__" hidden="1">{"fdsup://directions/FAT Viewer?action=UPDATE&amp;creator=factset&amp;DYN_ARGS=TRUE&amp;DOC_NAME=FAT:FQL_AUDITING_CLIENT_TEMPLATE.FAT&amp;display_string=Audit&amp;VAR:KEY=PGZONQZEBC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WFM&amp;VAR:INDEX=0"}</definedName>
    <definedName name="_242_0UniqueRange">#REF!</definedName>
    <definedName name="_243_0UniqueRange">#REF!</definedName>
    <definedName name="_249__FDSAUDITLINK__" hidden="1">{"fdsup://directions/FAT Viewer?action=UPDATE&amp;creator=factset&amp;DYN_ARGS=TRUE&amp;DOC_NAME=FAT:FQL_AUDITING_CLIENT_TEMPLATE.FAT&amp;display_string=Audit&amp;VAR:KEY=XMNABAVQZU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COH&amp;VAR:INDEX=0"}</definedName>
    <definedName name="_25__FDSAUDITLINK__" hidden="1">{"fdsup://directions/FAT Viewer?action=UPDATE&amp;creator=factset&amp;DYN_ARGS=TRUE&amp;DOC_NAME=FAT:FQL_AUDITING_CLIENT_TEMPLATE.FAT&amp;display_string=Audit&amp;VAR:KEY=GXORMHWNEH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TFM&amp;VAR:INDEX=0"}</definedName>
    <definedName name="_251_0UniqueRange">#REF!</definedName>
    <definedName name="_252_0UniqueRange">#REF!</definedName>
    <definedName name="_26__FDSAUDITLINK__" hidden="1">{"fdsup://directions/FAT Viewer?action=UPDATE&amp;creator=factset&amp;DYN_ARGS=TRUE&amp;DOC_NAME=FAT:FQL_AUDITING_CLIENT_TEMPLATE.FAT&amp;display_string=Audit&amp;VAR:KEY=ABYZMHANYV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WFM&amp;VAR:INDEX=0"}</definedName>
    <definedName name="_26_0EBITDA_Sh">#REF!</definedName>
    <definedName name="_260_0UniqueRange">#REF!</definedName>
    <definedName name="_261_0UniqueRange">#REF!</definedName>
    <definedName name="_269_0UniqueRange">#REF!</definedName>
    <definedName name="_27__FDSAUDITLINK__" hidden="1">{"fdsup://directions/FAT Viewer?action=UPDATE&amp;creator=factset&amp;DYN_ARGS=TRUE&amp;DOC_NAME=FAT:FQL_AUDITING_CLIENT_TEMPLATE.FAT&amp;display_string=Audit&amp;VAR:KEY=XQTAHQLEFC&amp;VAR:QUERY=KChGRl9FTlRSUFJfVkFMX0RBSUxZKDQwNjQ4LCwsLCwnRElMJykvSUNfRVNUSU1BVEUoRUJJVERBLE1FQU4sT","lRNXzRRLCw0MDY0OCkpQEZFX1ZBTFVBVElPTignRVZfRUJJVERBJywnTUVBTicsJ05UTUEnLCcnLDQwNjQ4LCwsJycpKQ==&amp;WINDOW=FIRST_POPUP&amp;HEIGHT=450&amp;WIDTH=450&amp;START_MAXIMIZED=FALSE&amp;VAR:CALENDAR=US&amp;VAR:SYMBOL=TIF&amp;VAR:INDEX=0"}</definedName>
    <definedName name="_27_0EBITDA_Sh">#REF!</definedName>
    <definedName name="_270_0UniqueRange">#REF!</definedName>
    <definedName name="_278_0UniqueRange">#REF!</definedName>
    <definedName name="_279_0UniqueRange">#REF!</definedName>
    <definedName name="_28__FDSAUDITLINK__" hidden="1">{"fdsup://directions/FAT Viewer?action=UPDATE&amp;creator=factset&amp;DYN_ARGS=TRUE&amp;DOC_NAME=FAT:FQL_AUDITING_CLIENT_TEMPLATE.FAT&amp;display_string=Audit&amp;VAR:KEY=ENQNQTIFUP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KR&amp;VAR:INDEX=0"}</definedName>
    <definedName name="_287_0UniqueRange">#REF!</definedName>
    <definedName name="_288_0UniqueRange">#REF!</definedName>
    <definedName name="_29__FDSAUDITLINK__" hidden="1">{"fdsup://directions/FAT Viewer?action=UPDATE&amp;creator=factset&amp;DYN_ARGS=TRUE&amp;DOC_NAME=FAT:FQL_AUDITING_CLIENT_TEMPLATE.FAT&amp;display_string=Audit&amp;VAR:KEY=QXMVYHYTAD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NILE&amp;VAR:INDEX=0"}</definedName>
    <definedName name="_296_0UniqueRange">#REF!</definedName>
    <definedName name="_297_0UniqueRange">#REF!</definedName>
    <definedName name="_3__FDSAUDITLINK__" hidden="1">{"fdsup://directions/FAT Viewer?action=UPDATE&amp;creator=factset&amp;DYN_ARGS=TRUE&amp;DOC_NAME=FAT:FQL_AUDITING_CLIENT_TEMPLATE.FAT&amp;display_string=Audit&amp;VAR:KEY=ZCVUZUHSVU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SBUX&amp;VAR:INDEX=0"}</definedName>
    <definedName name="_30__FDSAUDITLINK__" hidden="1">{"fdsup://directions/FAT Viewer?action=UPDATE&amp;creator=factset&amp;DYN_ARGS=TRUE&amp;DOC_NAME=FAT:FQL_AUDITING_CLIENT_TEMPLATE.FAT&amp;display_string=Audit&amp;VAR:KEY=ITOXSTANWD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PVH&amp;VAR:INDEX=0"}</definedName>
    <definedName name="_30_0i">#REF!</definedName>
    <definedName name="_305_0UniqueRange">#REF!</definedName>
    <definedName name="_306_0UniqueRange">#REF!</definedName>
    <definedName name="_31__FDSAUDITLINK__" hidden="1">{"fdsup://directions/FAT Viewer?action=UPDATE&amp;creator=factset&amp;DYN_ARGS=TRUE&amp;DOC_NAME=FAT:FQL_AUDITING_CLIENT_TEMPLATE.FAT&amp;display_string=Audit&amp;VAR:KEY=SHETGVYZYL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JNY&amp;VAR:INDEX=0"}</definedName>
    <definedName name="_314_3_0Income_before_ta">#REF!</definedName>
    <definedName name="_315_3_0Income_before_ta">#REF!</definedName>
    <definedName name="_32__FDSAUDITLINK__" hidden="1">{"fdsup://directions/FAT Viewer?action=UPDATE&amp;creator=factset&amp;DYN_ARGS=TRUE&amp;DOC_NAME=FAT:FQL_AUDITING_CLIENT_TEMPLATE.FAT&amp;display_string=Audit&amp;VAR:KEY=YBQLCVQRIN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RL&amp;VAR:INDEX=0"}</definedName>
    <definedName name="_323_3_0Increase_in_other_liabilit">#REF!</definedName>
    <definedName name="_324_3_0Increase_in_other_liabilit">#REF!</definedName>
    <definedName name="_33__FDSAUDITLINK__" hidden="1">{"fdsup://directions/FAT Viewer?action=UPDATE&amp;creator=factset&amp;DYN_ARGS=TRUE&amp;DOC_NAME=FAT:FQL_AUDITING_CLIENT_TEMPLATE.FAT&amp;display_string=Audit&amp;VAR:KEY=KRMJKDIDIP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TIF&amp;VAR:INDEX=0"}</definedName>
    <definedName name="_332_3_0Other_Segment_Reven">#REF!</definedName>
    <definedName name="_333_3_0Other_Segment_Reven">#REF!</definedName>
    <definedName name="_34__FDSAUDITLINK__" hidden="1">{"fdsup://directions/FAT Viewer?action=UPDATE&amp;creator=factset&amp;DYN_ARGS=TRUE&amp;DOC_NAME=FAT:FQL_AUDITING_CLIENT_TEMPLATE.FAT&amp;display_string=Audit&amp;VAR:KEY=IZMRCTQFUX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SHLD&amp;VAR:INDEX=0"}</definedName>
    <definedName name="_35__FDSAUDITLINK__" hidden="1">{"fdsup://directions/FAT Viewer?action=UPDATE&amp;creator=factset&amp;DYN_ARGS=TRUE&amp;DOC_NAME=FAT:FQL_AUDITING_CLIENT_TEMPLATE.FAT&amp;display_string=Audit&amp;VAR:KEY=ATUXOJQRYD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SKS&amp;VAR:INDEX=0"}</definedName>
    <definedName name="_35_0NOPAT_Sh">#REF!</definedName>
    <definedName name="_36__FDSAUDITLINK__" hidden="1">{"fdsup://directions/FAT Viewer?action=UPDATE&amp;creator=factset&amp;DYN_ARGS=TRUE&amp;DOC_NAME=FAT:FQL_AUDITING_CLIENT_TEMPLATE.FAT&amp;display_string=Audit&amp;VAR:KEY=QDWDCVEVMR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JWN&amp;VAR:INDEX=0"}</definedName>
    <definedName name="_36_0NOPAT_Sh">#REF!</definedName>
    <definedName name="_37__FDSAUDITLINK__" hidden="1">{"fdsup://directions/FAT Viewer?action=UPDATE&amp;creator=factset&amp;DYN_ARGS=TRUE&amp;DOC_NAME=FAT:FQL_AUDITING_CLIENT_TEMPLATE.FAT&amp;display_string=Audit&amp;VAR:KEY=KVGBCHOXMN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M&amp;VAR:INDEX=0"}</definedName>
    <definedName name="_38__FDSAUDITLINK__" hidden="1">{"fdsup://directions/FAT Viewer?action=UPDATE&amp;creator=factset&amp;DYN_ARGS=TRUE&amp;DOC_NAME=FAT:FQL_AUDITING_CLIENT_TEMPLATE.FAT&amp;display_string=Audit&amp;VAR:KEY=KLAXELEVCD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JCP&amp;VAR:INDEX=0"}</definedName>
    <definedName name="_39__FDSAUDITLINK__" hidden="1">{"fdsup://directions/FAT Viewer?action=UPDATE&amp;creator=factset&amp;DYN_ARGS=TRUE&amp;DOC_NAME=FAT:FQL_AUDITING_CLIENT_TEMPLATE.FAT&amp;display_string=Audit&amp;VAR:KEY=QJGHURSPAB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KSS&amp;VAR:INDEX=0"}</definedName>
    <definedName name="_3937__FDSAUDITLINK__" hidden="1">{"fdsup://directions/FAT Viewer?action=UPDATE&amp;creator=factset&amp;DYN_ARGS=TRUE&amp;DOC_NAME=FAT:FQL_AUDITING_CLIENT_TEMPLATE.FAT&amp;display_string=Audit&amp;VAR:KEY=TMXOTKHAFK&amp;VAR:QUERY=KChGRl9FTlRSUFJfVkFMX0RBSUxZKDQxMDg4LCwsLCwnRElMJykgLyBJQ19FU1RJTUFURShFQklUREEsTUVBT","ixOVE1fNFEsLDQxMDg4KSlARkVfVkFMVUFUSU9OKCdFVl9FQklUREEnLCdNRUFOJywnTlRNQScsJycsNDEwODgsLCwnJykp&amp;WINDOW=FIRST_POPUP&amp;HEIGHT=450&amp;WIDTH=450&amp;START_MAXIMIZED=FALSE&amp;VAR:CALENDAR=US&amp;VAR:SYMBOL=317430&amp;VAR:INDEX=0"}</definedName>
    <definedName name="_4__FDSAUDITLINK__" hidden="1">{"fdsup://directions/FAT Viewer?action=UPDATE&amp;creator=factset&amp;DYN_ARGS=TRUE&amp;DOC_NAME=FAT:FQL_AUDITING_CLIENT_TEMPLATE.FAT&amp;display_string=Audit&amp;VAR:KEY=ZWDYLGNOZS&amp;VAR:QUERY=KChGRl9FTlRSUFJfVkFMX0RBSUxZKDQxMDQ3LCwsLCwnRElMJykgLyBJQ19FU1RJTUFURShFQklUREEsTUVBT","ixOVE1fNFEsLDQxMDQ3KSlARkVfVkFMVUFUSU9OKCdFVl9FQklUREEnLCdNRUFOJywnTlRNQScsJycsNDEwNDcsLCwnJykp&amp;WINDOW=FIRST_POPUP&amp;HEIGHT=450&amp;WIDTH=450&amp;START_MAXIMIZED=FALSE&amp;VAR:CALENDAR=US&amp;VAR:SYMBOL=DG&amp;VAR:INDEX=0"}</definedName>
    <definedName name="_40__FDSAUDITLINK__" hidden="1">{"fdsup://directions/FAT Viewer?action=UPDATE&amp;creator=factset&amp;DYN_ARGS=TRUE&amp;DOC_NAME=FAT:FQL_AUDITING_CLIENT_TEMPLATE.FAT&amp;display_string=Audit&amp;VAR:KEY=KNUHEDERUD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ROST&amp;VAR:INDEX=0"}</definedName>
    <definedName name="_41__FDSAUDITLINK__" hidden="1">{"fdsup://directions/FAT Viewer?action=UPDATE&amp;creator=factset&amp;DYN_ARGS=TRUE&amp;DOC_NAME=FAT:FQL_AUDITING_CLIENT_TEMPLATE.FAT&amp;display_string=Audit&amp;VAR:KEY=FEVALSVOHG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TJX&amp;VAR:INDEX=0"}</definedName>
    <definedName name="_42__FDSAUDITLINK__" hidden="1">{"fdsup://directions/FAT Viewer?action=UPDATE&amp;creator=factset&amp;DYN_ARGS=TRUE&amp;DOC_NAME=FAT:FQL_AUDITING_CLIENT_TEMPLATE.FAT&amp;display_string=Audit&amp;VAR:KEY=JSTYPGXGHW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DLTR&amp;VAR:INDEX=0"}</definedName>
    <definedName name="_43__FDSAUDITLINK__" hidden="1">{"fdsup://directions/FAT Viewer?action=UPDATE&amp;creator=factset&amp;DYN_ARGS=TRUE&amp;DOC_NAME=FAT:FQL_AUDITING_CLIENT_TEMPLATE.FAT&amp;display_string=Audit&amp;VAR:KEY=VQJGRYNADA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FDO&amp;VAR:INDEX=0"}</definedName>
    <definedName name="_433__FDSAUDITLINK__" hidden="1">{"fdsup://directions/FAT Viewer?action=UPDATE&amp;creator=factset&amp;DYN_ARGS=TRUE&amp;DOC_NAME=FAT:FQL_AUDITING_CLIENT_TEMPLATE.FAT&amp;display_string=Audit&amp;VAR:KEY=SBITEHSBIZ&amp;VAR:QUERY=KChGRl9FTlRSUFJfVkFMX0RBSUxZKDQwNzU4LCwsLCwnRElMJykvSUNfRVNUSU1BVEUoRUJJVERBLE1FQU4sT","lRNXzRRLCw0MDc1OCkpQEZFX1ZBTFVBVElPTignRVZfRUJJVERBJywnTUVBTicsJ05UTUEnLCcnLDQwNzU4LCwsJycpKQ==&amp;WINDOW=FIRST_POPUP&amp;HEIGHT=450&amp;WIDTH=450&amp;START_MAXIMIZED=FALSE&amp;VAR:CALENDAR=US&amp;VAR:SYMBOL=TIF&amp;VAR:INDEX=0"}</definedName>
    <definedName name="_434__FDSAUDITLINK__" hidden="1">{"fdsup://directions/FAT Viewer?action=UPDATE&amp;creator=factset&amp;DYN_ARGS=TRUE&amp;DOC_NAME=FAT:FQL_AUDITING_CLIENT_TEMPLATE.FAT&amp;display_string=Audit&amp;VAR:KEY=UDWZGVCPKJ&amp;VAR:QUERY=KChGRl9FTlRSUFJfVkFMX0RBSUxZKDQwNzU4LCwsLCwnRElMJykvSUNfRVNUSU1BVEUoRUJJVERBLE1FQU4sT","lRNXzRRLCw0MDc1OCkpQEZFX1ZBTFVBVElPTignRVZfRUJJVERBJywnTUVBTicsJ05UTUEnLCcnLDQwNzU4LCwsJycpKQ==&amp;WINDOW=FIRST_POPUP&amp;HEIGHT=450&amp;WIDTH=450&amp;START_MAXIMIZED=FALSE&amp;VAR:CALENDAR=US&amp;VAR:SYMBOL=RL&amp;VAR:INDEX=0"}</definedName>
    <definedName name="_435__FDSAUDITLINK__" hidden="1">{"fdsup://directions/FAT Viewer?action=UPDATE&amp;creator=factset&amp;DYN_ARGS=TRUE&amp;DOC_NAME=FAT:FQL_AUDITING_CLIENT_TEMPLATE.FAT&amp;display_string=Audit&amp;VAR:KEY=CLETCRCXAP&amp;VAR:QUERY=KChGRl9FTlRSUFJfVkFMX0RBSUxZKDQwNzU4LCwsLCwnRElMJykvSUNfRVNUSU1BVEUoRUJJVERBLE1FQU4sT","lRNXzRRLCw0MDc1OCkpQEZFX1ZBTFVBVElPTignRVZfRUJJVERBJywnTUVBTicsJ05UTUEnLCcnLDQwNzU4LCwsJycpKQ==&amp;WINDOW=FIRST_POPUP&amp;HEIGHT=450&amp;WIDTH=450&amp;START_MAXIMIZED=FALSE&amp;VAR:CALENDAR=US&amp;VAR:SYMBOL=SKS&amp;VAR:INDEX=0"}</definedName>
    <definedName name="_436__FDSAUDITLINK__" hidden="1">{"fdsup://directions/FAT Viewer?action=UPDATE&amp;creator=factset&amp;DYN_ARGS=TRUE&amp;DOC_NAME=FAT:FQL_AUDITING_CLIENT_TEMPLATE.FAT&amp;display_string=Audit&amp;VAR:KEY=WJQVMTUNSV&amp;VAR:QUERY=KChGRl9FTlRSUFJfVkFMX0RBSUxZKDQwNzU4LCwsLCwnRElMJykvSUNfRVNUSU1BVEUoRUJJVERBLE1FQU4sT","lRNXzRRLCw0MDc1OCkpQEZFX1ZBTFVBVElPTignRVZfRUJJVERBJywnTUVBTicsJ05UTUEnLCcnLDQwNzU4LCwsJycpKQ==&amp;WINDOW=FIRST_POPUP&amp;HEIGHT=450&amp;WIDTH=450&amp;START_MAXIMIZED=FALSE&amp;VAR:CALENDAR=US&amp;VAR:SYMBOL=COH&amp;VAR:INDEX=0"}</definedName>
    <definedName name="_44__FDSAUDITLINK__" hidden="1">{"fdsup://directions/FAT Viewer?action=UPDATE&amp;creator=factset&amp;DYN_ARGS=TRUE&amp;DOC_NAME=FAT:FQL_AUDITING_CLIENT_TEMPLATE.FAT&amp;display_string=Audit&amp;VAR:KEY=PWFKRSPIFK&amp;VAR:QUERY=KChGRl9FTlRSUFJfVkFMX0RBSUxZKDQwNjM0LCwsLCwnRElMJykvSUNfRVNUSU1BVEUoRUJJVERBLE1FQU4sT","lRNXzRRLCw0MDYzNCkpQEZFX1ZBTFVBVElPTignRVZfRUJJVERBJywnTUVBTicsJ05UTUEnLCcnLDQwNjM0LCwsJycpKQ==&amp;WINDOW=FIRST_POPUP&amp;HEIGHT=450&amp;WIDTH=450&amp;START_MAXIMIZED=FALSE&amp;VAR:CALENDAR=US&amp;VAR:SYMBOL=TIF&amp;VAR:INDEX=0"}</definedName>
    <definedName name="_44_0UniqueRang">#REF!</definedName>
    <definedName name="_45__FDSAUDITLINK__" hidden="1">{"fdsup://directions/FAT Viewer?action=UPDATE&amp;creator=factset&amp;DYN_ARGS=TRUE&amp;DOC_NAME=FAT:FQL_AUDITING_CLIENT_TEMPLATE.FAT&amp;display_string=Audit&amp;VAR:KEY=NWTUHGPKPW&amp;VAR:QUERY=KChGRl9FTlRSUFJfVkFMX0RBSUxZKDQxMDU0LCwsLCwnRElMJykgLyBJQ19FU1RJTUFURShFQklUREEsTUVBT","ixOVE1fNFEsLDQxMDU0KSlARkVfVkFMVUFUSU9OKCdFVl9FQklUREEnLCdNRUFOJywnTlRNQScsJycsNDEwNTQsLCwnJykp&amp;WINDOW=FIRST_POPUP&amp;HEIGHT=450&amp;WIDTH=450&amp;START_MAXIMIZED=FALSE&amp;VAR:CALENDAR=US&amp;VAR:SYMBOL=TGT&amp;VAR:INDEX=0"}</definedName>
    <definedName name="_45_0UniqueRang">#REF!</definedName>
    <definedName name="_46__FDSAUDITLINK__" hidden="1">{"fdsup://directions/FAT Viewer?action=UPDATE&amp;creator=factset&amp;DYN_ARGS=TRUE&amp;DOC_NAME=FAT:FQL_AUDITING_CLIENT_TEMPLATE.FAT&amp;display_string=Audit&amp;VAR:KEY=BUBMVGTQPQ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RL&amp;VAR:INDEX=0"}</definedName>
    <definedName name="_47__FDSAUDITLINK__" hidden="1">{"fdsup://directions/FAT Viewer?action=UPDATE&amp;creator=factset&amp;DYN_ARGS=TRUE&amp;DOC_NAME=FAT:FQL_AUDITING_CLIENT_TEMPLATE.FAT&amp;display_string=Audit&amp;VAR:KEY=XEJQDQTMFQ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TIF&amp;VAR:INDEX=0"}</definedName>
    <definedName name="_475__FDSAUDITLINK__" hidden="1">{"fdsup://directions/FAT Viewer?action=UPDATE&amp;creator=factset&amp;DYN_ARGS=TRUE&amp;DOC_NAME=FAT:FQL_AUDITING_CLIENT_TEMPLATE.FAT&amp;display_string=Audit&amp;VAR:KEY=FGLUHUHSRE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PVH&amp;VAR:INDEX=0"}</definedName>
    <definedName name="_48__FDSAUDITLINK__" hidden="1">{"fdsup://directions/FAT Viewer?action=UPDATE&amp;creator=factset&amp;DYN_ARGS=TRUE&amp;DOC_NAME=FAT:FQL_AUDITING_CLIENT_TEMPLATE.FAT&amp;display_string=Audit&amp;VAR:KEY=HCJANWNEVA&amp;VAR:QUERY=KChGRl9FTlRSUFJfVkFMX0RBSUxZKDQwNjQ4LCwsLCwnRElMJykvSUNfRVNUSU1BVEUoRUJJVERBLE1FQU4sT","lRNXzRRLCw0MDY0OCkpQEZFX1ZBTFVBVElPTignRVZfRUJJVERBJywnTUVBTicsJ05UTUEnLCcnLDQwNjQ4LCwsJycpKQ==&amp;WINDOW=FIRST_POPUP&amp;HEIGHT=450&amp;WIDTH=450&amp;START_MAXIMIZED=FALSE&amp;VAR:CALENDAR=US&amp;VAR:SYMBOL=718472&amp;VAR:INDEX=0"}</definedName>
    <definedName name="_49__FDSAUDITLINK__" hidden="1">{"fdsup://directions/FAT Viewer?action=UPDATE&amp;creator=factset&amp;DYN_ARGS=TRUE&amp;DOC_NAME=FAT:FQL_AUDITING_CLIENT_TEMPLATE.FAT&amp;display_string=Audit&amp;VAR:KEY=HMBQPUNQZC&amp;VAR:QUERY=KChGRl9FTlRSUFJfVkFMX0RBSUxZKDQwNjQ4LCwsLCwnRElMJykvSUNfRVNUSU1BVEUoRUJJVERBLE1FQU4sT","lRNXzRRLCw0MDY0OCkpQEZFX1ZBTFVBVElPTignRVZfRUJJVERBJywnTUVBTicsJ05UTUEnLCcnLDQwNjQ4LCwsJycpKQ==&amp;WINDOW=FIRST_POPUP&amp;HEIGHT=450&amp;WIDTH=450&amp;START_MAXIMIZED=FALSE&amp;VAR:CALENDAR=US&amp;VAR:SYMBOL=550507&amp;VAR:INDEX=0"}</definedName>
    <definedName name="_5__FDSAUDITLINK__" hidden="1">{"fdsup://directions/FAT Viewer?action=UPDATE&amp;creator=factset&amp;DYN_ARGS=TRUE&amp;DOC_NAME=FAT:FQL_AUDITING_CLIENT_TEMPLATE.FAT&amp;display_string=Audit&amp;VAR:KEY=REPUTUVQNQ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JNY&amp;VAR:INDEX=0"}</definedName>
    <definedName name="_50__FDSAUDITLINK__" hidden="1">{"fdsup://directions/FAT Viewer?action=UPDATE&amp;creator=factset&amp;DYN_ARGS=TRUE&amp;DOC_NAME=FAT:FQL_AUDITING_CLIENT_TEMPLATE.FAT&amp;display_string=Audit&amp;VAR:KEY=XAZKVCJYTC&amp;VAR:QUERY=KChGRl9FTlRSUFJfVkFMX0RBSUxZKDQwNjQ4LCwsLCwnRElMJykvSUNfRVNUSU1BVEUoRUJJVERBLE1FQU4sT","lRNXzRRLCw0MDY0OCkpQEZFX1ZBTFVBVElPTignRVZfRUJJVERBJywnTUVBTicsJ05UTUEnLCcnLDQwNjQ4LCwsJycpKQ==&amp;WINDOW=FIRST_POPUP&amp;HEIGHT=450&amp;WIDTH=450&amp;START_MAXIMIZED=FALSE&amp;VAR:CALENDAR=US&amp;VAR:SYMBOL=525397&amp;VAR:INDEX=0"}</definedName>
    <definedName name="_51__FDSAUDITLINK__" hidden="1">{"fdsup://directions/FAT Viewer?action=UPDATE&amp;creator=factset&amp;DYN_ARGS=TRUE&amp;DOC_NAME=FAT:FQL_AUDITING_CLIENT_TEMPLATE.FAT&amp;display_string=Audit&amp;VAR:KEY=NEFKJEHILS&amp;VAR:QUERY=KChGRl9FTlRSUFJfVkFMX0RBSUxZKDQwNjQ4LCwsLCwnRElMJykvSUNfRVNUSU1BVEUoRUJJVERBLE1FQU4sT","lRNXzRRLCw0MDY0OCkpQEZFX1ZBTFVBVElPTignRVZfRUJJVERBJywnTUVBTicsJ05UTUEnLCcnLDQwNjQ4LCwsJycpKQ==&amp;WINDOW=FIRST_POPUP&amp;HEIGHT=450&amp;WIDTH=450&amp;START_MAXIMIZED=FALSE&amp;VAR:CALENDAR=US&amp;VAR:SYMBOL=525647&amp;VAR:INDEX=0"}</definedName>
    <definedName name="_52__FDSAUDITLINK__" hidden="1">{"fdsup://directions/FAT Viewer?action=UPDATE&amp;creator=factset&amp;DYN_ARGS=TRUE&amp;DOC_NAME=FAT:FQL_AUDITING_CLIENT_TEMPLATE.FAT&amp;display_string=Audit&amp;VAR:KEY=JUNAPOVALC&amp;VAR:QUERY=KChGRl9FTlRSUFJfVkFMX0RBSUxZKDQwNjQ4LCwsLCwnRElMJykvSUNfRVNUSU1BVEUoRUJJVERBLE1FQU4sT","lRNXzRRLCw0MDY0OCkpQEZFX1ZBTFVBVElPTignRVZfRUJJVERBJywnTUVBTicsJ05UTUEnLCcnLDQwNjQ4LCwsJycpKQ==&amp;WINDOW=FIRST_POPUP&amp;HEIGHT=450&amp;WIDTH=450&amp;START_MAXIMIZED=FALSE&amp;VAR:CALENDAR=US&amp;VAR:SYMBOL=464373&amp;VAR:INDEX=0"}</definedName>
    <definedName name="_53__FDSAUDITLINK__" hidden="1">{"fdsup://directions/FAT Viewer?action=UPDATE&amp;creator=factset&amp;DYN_ARGS=TRUE&amp;DOC_NAME=FAT:FQL_AUDITING_CLIENT_TEMPLATE.FAT&amp;display_string=Audit&amp;VAR:KEY=JSJKDCJSTM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406141&amp;VAR:INDEX=0"}</definedName>
    <definedName name="_53_0UniqueRang">#REF!</definedName>
    <definedName name="_54__FDSAUDITLINK__" hidden="1">{"fdsup://directions/FAT Viewer?action=UPDATE&amp;creator=factset&amp;DYN_ARGS=TRUE&amp;DOC_NAME=FAT:FQL_AUDITING_CLIENT_TEMPLATE.FAT&amp;display_string=Audit&amp;VAR:KEY=JONKTAXSFW&amp;VAR:QUERY=KChGRl9FTlRSUFJfVkFMX0RBSUxZKDQwNjQxLCwsLCwnRElMJykvSUNfRVNUSU1BVEUoRUJJVERBLE1FQU4sT","lRNXzRRLCw0MDY0MSkpQEZFX1ZBTFVBVElPTignRVZfRUJJVERBJywnTUVBTicsJ05UTUEnLCcnLDQwNjQxLCwsJycpKQ==&amp;WINDOW=FIRST_POPUP&amp;HEIGHT=450&amp;WIDTH=450&amp;START_MAXIMIZED=FALSE&amp;VAR:CALENDAR=US&amp;VAR:SYMBOL=550507&amp;VAR:INDEX=0"}</definedName>
    <definedName name="_54_0UniqueRang">#REF!</definedName>
    <definedName name="_55__FDSAUDITLINK__" hidden="1">{"fdsup://directions/FAT Viewer?action=UPDATE&amp;creator=factset&amp;DYN_ARGS=TRUE&amp;DOC_NAME=FAT:FQL_AUDITING_CLIENT_TEMPLATE.FAT&amp;display_string=Audit&amp;VAR:KEY=FGNGFUBAJE&amp;VAR:QUERY=KChGRl9FTlRSUFJfVkFMX0RBSUxZKDQwNjQxLCwsLCwnRElMJykvSUNfRVNUSU1BVEUoRUJJVERBLE1FQU4sT","lRNXzRRLCw0MDY0MSkpQEZFX1ZBTFVBVElPTignRVZfRUJJVERBJywnTUVBTicsJ05UTUEnLCcnLDQwNjQxLCwsJycpKQ==&amp;WINDOW=FIRST_POPUP&amp;HEIGHT=450&amp;WIDTH=450&amp;START_MAXIMIZED=FALSE&amp;VAR:CALENDAR=US&amp;VAR:SYMBOL=525397&amp;VAR:INDEX=0"}</definedName>
    <definedName name="_56__FDSAUDITLINK__" hidden="1">{"fdsup://directions/FAT Viewer?action=UPDATE&amp;creator=factset&amp;DYN_ARGS=TRUE&amp;DOC_NAME=FAT:FQL_AUDITING_CLIENT_TEMPLATE.FAT&amp;display_string=Audit&amp;VAR:KEY=REJQHQFWHO&amp;VAR:QUERY=KChGRl9FTlRSUFJfVkFMX0RBSUxZKDQwNjQxLCwsLCwnRElMJykvSUNfRVNUSU1BVEUoRUJJVERBLE1FQU4sT","lRNXzRRLCw0MDY0MSkpQEZFX1ZBTFVBVElPTignRVZfRUJJVERBJywnTUVBTicsJ05UTUEnLCcnLDQwNjQxLCwsJycpKQ==&amp;WINDOW=FIRST_POPUP&amp;HEIGHT=450&amp;WIDTH=450&amp;START_MAXIMIZED=FALSE&amp;VAR:CALENDAR=US&amp;VAR:SYMBOL=525647&amp;VAR:INDEX=0"}</definedName>
    <definedName name="_57__FDSAUDITLINK__" hidden="1">{"fdsup://directions/FAT Viewer?action=UPDATE&amp;creator=factset&amp;DYN_ARGS=TRUE&amp;DOC_NAME=FAT:FQL_AUDITING_CLIENT_TEMPLATE.FAT&amp;display_string=Audit&amp;VAR:KEY=FWRQLMRAJU&amp;VAR:QUERY=KChGRl9FTlRSUFJfVkFMX0RBSUxZKDQwNjQxLCwsLCwnRElMJykvSUNfRVNUSU1BVEUoRUJJVERBLE1FQU4sT","lRNXzRRLCw0MDY0MSkpQEZFX1ZBTFVBVElPTignRVZfRUJJVERBJywnTUVBTicsJ05UTUEnLCcnLDQwNjQxLCwsJycpKQ==&amp;WINDOW=FIRST_POPUP&amp;HEIGHT=450&amp;WIDTH=450&amp;START_MAXIMIZED=FALSE&amp;VAR:CALENDAR=US&amp;VAR:SYMBOL=464373&amp;VAR:INDEX=0"}</definedName>
    <definedName name="_58__FDSAUDITLINK__" hidden="1">{"fdsup://directions/FAT Viewer?action=UPDATE&amp;creator=factset&amp;DYN_ARGS=TRUE&amp;DOC_NAME=FAT:FQL_AUDITING_CLIENT_TEMPLATE.FAT&amp;display_string=Audit&amp;VAR:KEY=ZONAHODGVU&amp;VAR:QUERY=KChGRl9FTlRSUFJfVkFMX0RBSUxZKDQwNjM0LCwsLCwnRElMJykvSUNfRVNUSU1BVEUoRUJJVERBLE1FQU4sT","lRNXzRRLCw0MDYzNCkpQEZFX1ZBTFVBVElPTignRVZfRUJJVERBJywnTUVBTicsJ05UTUEnLCcnLDQwNjM0LCwsJycpKQ==&amp;WINDOW=FIRST_POPUP&amp;HEIGHT=450&amp;WIDTH=450&amp;START_MAXIMIZED=FALSE&amp;VAR:CALENDAR=US&amp;VAR:SYMBOL=406141&amp;VAR:INDEX=0"}</definedName>
    <definedName name="_59__FDSAUDITLINK__" hidden="1">{"fdsup://directions/FAT Viewer?action=UPDATE&amp;creator=factset&amp;DYN_ARGS=TRUE&amp;DOC_NAME=FAT:FQL_AUDITING_CLIENT_TEMPLATE.FAT&amp;display_string=Audit&amp;VAR:KEY=HGRUTARGTA&amp;VAR:QUERY=KChGRl9FTlRSUFJfVkFMX0RBSUxZKDQwNjM0LCwsLCwnRElMJykvSUNfRVNUSU1BVEUoRUJJVERBLE1FQU4sT","lRNXzRRLCw0MDYzNCkpQEZFX1ZBTFVBVElPTignRVZfRUJJVERBJywnTUVBTicsJ05UTUEnLCcnLDQwNjM0LCwsJycpKQ==&amp;WINDOW=FIRST_POPUP&amp;HEIGHT=450&amp;WIDTH=450&amp;START_MAXIMIZED=FALSE&amp;VAR:CALENDAR=US&amp;VAR:SYMBOL=550507&amp;VAR:INDEX=0"}</definedName>
    <definedName name="_6__FDSAUDITLINK__" hidden="1">{"fdsup://directions/FAT Viewer?action=UPDATE&amp;creator=factset&amp;DYN_ARGS=TRUE&amp;DOC_NAME=FAT:FQL_AUDITING_CLIENT_TEMPLATE.FAT&amp;display_string=Audit&amp;VAR:KEY=FGRYPSHQXK&amp;VAR:QUERY=KChGRl9FTlRSUFJfVkFMX0RBSUxZKDQwNjQ4LCwsLCwnRElMJykvSUNfRVNUSU1BVEUoRUJJVERBLE1FQU4sT","lRNXzRRLCw0MDY0OCkpQEZFX1ZBTFVBVElPTignRVZfRUJJVERBJywnTUVBTicsJ05UTUEnLCcnLDQwNjQ4LCwsJycpKQ==&amp;WINDOW=FIRST_POPUP&amp;HEIGHT=450&amp;WIDTH=450&amp;START_MAXIMIZED=FALSE&amp;VAR:CALENDAR=US&amp;VAR:SYMBOL=SKS&amp;VAR:INDEX=0"}</definedName>
    <definedName name="_60__FDSAUDITLINK__" hidden="1">{"fdsup://directions/FAT Viewer?action=UPDATE&amp;creator=factset&amp;DYN_ARGS=TRUE&amp;DOC_NAME=FAT:FQL_AUDITING_CLIENT_TEMPLATE.FAT&amp;display_string=Audit&amp;VAR:KEY=REZOLOPERM&amp;VAR:QUERY=KChGRl9FTlRSUFJfVkFMX0RBSUxZKDQwNjM0LCwsLCwnRElMJykvSUNfRVNUSU1BVEUoRUJJVERBLE1FQU4sT","lRNXzRRLCw0MDYzNCkpQEZFX1ZBTFVBVElPTignRVZfRUJJVERBJywnTUVBTicsJ05UTUEnLCcnLDQwNjM0LCwsJycpKQ==&amp;WINDOW=FIRST_POPUP&amp;HEIGHT=450&amp;WIDTH=450&amp;START_MAXIMIZED=FALSE&amp;VAR:CALENDAR=US&amp;VAR:SYMBOL=525397&amp;VAR:INDEX=0"}</definedName>
    <definedName name="_61__FDSAUDITLINK__" hidden="1">{"fdsup://directions/FAT Viewer?action=UPDATE&amp;creator=factset&amp;DYN_ARGS=TRUE&amp;DOC_NAME=FAT:FQL_AUDITING_CLIENT_TEMPLATE.FAT&amp;display_string=Audit&amp;VAR:KEY=HIDUTWDKTS&amp;VAR:QUERY=KChGRl9FTlRSUFJfVkFMX0RBSUxZKDQwNjM0LCwsLCwnRElMJykvSUNfRVNUSU1BVEUoRUJJVERBLE1FQU4sT","lRNXzRRLCw0MDYzNCkpQEZFX1ZBTFVBVElPTignRVZfRUJJVERBJywnTUVBTicsJ05UTUEnLCcnLDQwNjM0LCwsJycpKQ==&amp;WINDOW=FIRST_POPUP&amp;HEIGHT=450&amp;WIDTH=450&amp;START_MAXIMIZED=FALSE&amp;VAR:CALENDAR=US&amp;VAR:SYMBOL=525647&amp;VAR:INDEX=0"}</definedName>
    <definedName name="_62__FDSAUDITLINK__" hidden="1">{"fdsup://directions/FAT Viewer?action=UPDATE&amp;creator=factset&amp;DYN_ARGS=TRUE&amp;DOC_NAME=FAT:FQL_AUDITING_CLIENT_TEMPLATE.FAT&amp;display_string=Audit&amp;VAR:KEY=HCZCJQBUTU&amp;VAR:QUERY=KChGRl9FTlRSUFJfVkFMX0RBSUxZKDQwNjM0LCwsLCwnRElMJykvSUNfRVNUSU1BVEUoRUJJVERBLE1FQU4sT","lRNXzRRLCw0MDYzNCkpQEZFX1ZBTFVBVElPTignRVZfRUJJVERBJywnTUVBTicsJ05UTUEnLCcnLDQwNjM0LCwsJycpKQ==&amp;WINDOW=FIRST_POPUP&amp;HEIGHT=450&amp;WIDTH=450&amp;START_MAXIMIZED=FALSE&amp;VAR:CALENDAR=US&amp;VAR:SYMBOL=464373&amp;VAR:INDEX=0"}</definedName>
    <definedName name="_62_0UniqueRange">#REF!</definedName>
    <definedName name="_63__FDSAUDITLINK__" hidden="1">{"fdsup://directions/FAT Viewer?action=UPDATE&amp;creator=factset&amp;DYN_ARGS=TRUE&amp;DOC_NAME=FAT:FQL_AUDITING_CLIENT_TEMPLATE.FAT&amp;display_string=Audit&amp;VAR:KEY=FUZOVOXIHK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718472&amp;VAR:INDEX=0"}</definedName>
    <definedName name="_63_0UniqueRange">#REF!</definedName>
    <definedName name="_64__FDSAUDITLINK__" hidden="1">{"fdsup://directions/FAT Viewer?action=UPDATE&amp;creator=factset&amp;DYN_ARGS=TRUE&amp;DOC_NAME=FAT:FQL_AUDITING_CLIENT_TEMPLATE.FAT&amp;display_string=Audit&amp;VAR:KEY=JUBWFGNADY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550507&amp;VAR:INDEX=0"}</definedName>
    <definedName name="_66__FDSAUDITLINK__" hidden="1">{"fdsup://directions/FAT Viewer?action=UPDATE&amp;creator=factset&amp;DYN_ARGS=TRUE&amp;DOC_NAME=FAT:FQL_AUDITING_CLIENT_TEMPLATE.FAT&amp;display_string=Audit&amp;VAR:KEY=BULEVUHIRW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525647&amp;VAR:INDEX=0"}</definedName>
    <definedName name="_67__FDSAUDITLINK__" hidden="1">{"fdsup://directions/FAT Viewer?action=UPDATE&amp;creator=factset&amp;DYN_ARGS=TRUE&amp;DOC_NAME=FAT:FQL_AUDITING_CLIENT_TEMPLATE.FAT&amp;display_string=Audit&amp;VAR:KEY=RYJWNOXINY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464373&amp;VAR:INDEX=0"}</definedName>
    <definedName name="_69__FDSAUDITLINK__" hidden="1">{"fdsup://directions/FAT Viewer?action=UPDATE&amp;creator=factset&amp;DYN_ARGS=TRUE&amp;DOC_NAME=FAT:FQL_AUDITING_CLIENT_TEMPLATE.FAT&amp;display_string=Audit&amp;VAR:KEY=LAJATANUBG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406141&amp;VAR:INDEX=0"}</definedName>
    <definedName name="_7__FDSAUDITLINK__" hidden="1">{"fdsup://directions/FAT Viewer?action=UPDATE&amp;creator=factset&amp;DYN_ARGS=TRUE&amp;DOC_NAME=FAT:FQL_AUDITING_CLIENT_TEMPLATE.FAT&amp;display_string=Audit&amp;VAR:KEY=LKLIHOBWJI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RL&amp;VAR:INDEX=0"}</definedName>
    <definedName name="_70__FDSAUDITLINK__" hidden="1">{"fdsup://directions/FAT Viewer?action=UPDATE&amp;creator=factset&amp;DYN_ARGS=TRUE&amp;DOC_NAME=FAT:FQL_AUDITING_CLIENT_TEMPLATE.FAT&amp;display_string=Audit&amp;VAR:KEY=BOJWLUBKXW&amp;VAR:QUERY=KChGRl9FTlRSUFJfVkFMX0RBSUxZKDQwNjc2LCwsLCwnRElMJykvSUNfRVNUSU1BVEUoRUJJVERBLE1FQU4sT","lRNXzRRLCw0MDY3NikpQEZFX1ZBTFVBVElPTignRVZfRUJJVERBJywnTUVBTicsJ05UTUEnLCcnLDQwNjc2LCwsJycpKQ==&amp;WINDOW=FIRST_POPUP&amp;HEIGHT=450&amp;WIDTH=450&amp;START_MAXIMIZED=FALSE&amp;VAR:CALENDAR=US&amp;VAR:SYMBOL=SKS&amp;VAR:INDEX=0"}</definedName>
    <definedName name="_71__FDSAUDITLINK__" hidden="1">{"fdsup://directions/FAT Viewer?action=UPDATE&amp;creator=factset&amp;DYN_ARGS=TRUE&amp;DOC_NAME=FAT:FQL_AUDITING_CLIENT_TEMPLATE.FAT&amp;display_string=Audit&amp;VAR:KEY=FMBQFQBUVE&amp;VAR:QUERY=KChGRl9FTlRSUFJfVkFMX0RBSUxZKDQwNjkwLCwsLCwnRElMJykvSUNfRVNUSU1BVEUoRUJJVERBLE1FQU4sT","lRNXzRRLCw0MDY5MCkpQEZFX1ZBTFVBVElPTignRVZfRUJJVERBJywnTUVBTicsJ05UTUEnLCcnLDQwNjkwLCwsJycpKQ==&amp;WINDOW=FIRST_POPUP&amp;HEIGHT=450&amp;WIDTH=450&amp;START_MAXIMIZED=FALSE&amp;VAR:CALENDAR=US&amp;VAR:SYMBOL=SKS&amp;VAR:INDEX=0"}</definedName>
    <definedName name="_71_0FAMERangeSheet">#REF!</definedName>
    <definedName name="_72__FDSAUDITLINK__" hidden="1">{"fdsup://directions/FAT Viewer?action=UPDATE&amp;creator=factset&amp;DYN_ARGS=TRUE&amp;DOC_NAME=FAT:FQL_AUDITING_CLIENT_TEMPLATE.FAT&amp;display_string=Audit&amp;VAR:KEY=NKNSXYJADY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TIF&amp;VAR:INDEX=0"}</definedName>
    <definedName name="_72_0FAMERangeSheet">#REF!</definedName>
    <definedName name="_73__FDSAUDITLINK__" hidden="1">{"fdsup://directions/FAT Viewer?action=UPDATE&amp;creator=factset&amp;DYN_ARGS=TRUE&amp;DOC_NAME=FAT:FQL_AUDITING_CLIENT_TEMPLATE.FAT&amp;display_string=Audit&amp;VAR:KEY=JKBYXCTAXG&amp;VAR:QUERY=KChGRl9FTlRSUFJfVkFMX0RBSUxZKDQwNjY5LCwsLCwnRElMJykvSUNfRVNUSU1BVEUoRUJJVERBLE1FQU4sT","lRNXzRRLCw0MDY2OSkpQEZFX1ZBTFVBVElPTignRVZfRUJJVERBJywnTUVBTicsJ05UTUEnLCcnLDQwNjY5LCwsJycpKQ==&amp;WINDOW=FIRST_POPUP&amp;HEIGHT=450&amp;WIDTH=450&amp;START_MAXIMIZED=FALSE&amp;VAR:CALENDAR=US&amp;VAR:SYMBOL=406141&amp;VAR:INDEX=0"}</definedName>
    <definedName name="_74__FDSAUDITLINK__" hidden="1">{"fdsup://directions/FAT Viewer?action=UPDATE&amp;creator=factset&amp;DYN_ARGS=TRUE&amp;DOC_NAME=FAT:FQL_AUDITING_CLIENT_TEMPLATE.FAT&amp;display_string=Audit&amp;VAR:KEY=TYRWFQTIDK&amp;VAR:QUERY=KChGRl9FTlRSUFJfVkFMX0RBSUxZKDQwNjY5LCwsLCwnRElMJykvSUNfRVNUSU1BVEUoRUJJVERBLE1FQU4sT","lRNXzRRLCw0MDY2OSkpQEZFX1ZBTFVBVElPTignRVZfRUJJVERBJywnTUVBTicsJ05UTUEnLCcnLDQwNjY5LCwsJycpKQ==&amp;WINDOW=FIRST_POPUP&amp;HEIGHT=450&amp;WIDTH=450&amp;START_MAXIMIZED=FALSE&amp;VAR:CALENDAR=US&amp;VAR:SYMBOL=718472&amp;VAR:INDEX=0"}</definedName>
    <definedName name="_75__FDSAUDITLINK__" hidden="1">{"fdsup://directions/FAT Viewer?action=UPDATE&amp;creator=factset&amp;DYN_ARGS=TRUE&amp;DOC_NAME=FAT:FQL_AUDITING_CLIENT_TEMPLATE.FAT&amp;display_string=Audit&amp;VAR:KEY=PUDSPIHQFM&amp;VAR:QUERY=KChGRl9FTlRSUFJfVkFMX0RBSUxZKDQwNjY5LCwsLCwnRElMJykvSUNfRVNUSU1BVEUoRUJJVERBLE1FQU4sT","lRNXzRRLCw0MDY2OSkpQEZFX1ZBTFVBVElPTignRVZfRUJJVERBJywnTUVBTicsJ05UTUEnLCcnLDQwNjY5LCwsJycpKQ==&amp;WINDOW=FIRST_POPUP&amp;HEIGHT=450&amp;WIDTH=450&amp;START_MAXIMIZED=FALSE&amp;VAR:CALENDAR=US&amp;VAR:SYMBOL=550507&amp;VAR:INDEX=0"}</definedName>
    <definedName name="_76__FDSAUDITLINK__" hidden="1">{"fdsup://directions/FAT Viewer?action=UPDATE&amp;creator=factset&amp;DYN_ARGS=TRUE&amp;DOC_NAME=FAT:FQL_AUDITING_CLIENT_TEMPLATE.FAT&amp;display_string=Audit&amp;VAR:KEY=DCTKLOVQFG&amp;VAR:QUERY=KChGRl9FTlRSUFJfVkFMX0RBSUxZKDQwNjY5LCwsLCwnRElMJykvSUNfRVNUSU1BVEUoRUJJVERBLE1FQU4sT","lRNXzRRLCw0MDY2OSkpQEZFX1ZBTFVBVElPTignRVZfRUJJVERBJywnTUVBTicsJ05UTUEnLCcnLDQwNjY5LCwsJycpKQ==&amp;WINDOW=FIRST_POPUP&amp;HEIGHT=450&amp;WIDTH=450&amp;START_MAXIMIZED=FALSE&amp;VAR:CALENDAR=US&amp;VAR:SYMBOL=525397&amp;VAR:INDEX=0"}</definedName>
    <definedName name="_77__FDSAUDITLINK__" hidden="1">{"fdsup://directions/FAT Viewer?action=UPDATE&amp;creator=factset&amp;DYN_ARGS=TRUE&amp;DOC_NAME=FAT:FQL_AUDITING_CLIENT_TEMPLATE.FAT&amp;display_string=Audit&amp;VAR:KEY=IRCFKJCJQB&amp;VAR:QUERY=KChGRl9FTlRSUFJfVkFMX0RBSUxZKDQwNzUzLCwsLCwnRElMJykvSUNfRVNUSU1BVEUoRUJJVERBLE1FQU4sT","lRNXzRRLCw0MDc1MykpQEZFX1ZBTFVBVElPTignRVZfRUJJVERBJywnTUVBTicsJ05UTUEnLCcnLDQwNzUzLCwsJycpKQ==&amp;WINDOW=FIRST_POPUP&amp;HEIGHT=450&amp;WIDTH=450&amp;START_MAXIMIZED=FALSE&amp;VAR:CALENDAR=US&amp;VAR:SYMBOL=SKS&amp;VAR:INDEX=0"}</definedName>
    <definedName name="_78__FDSAUDITLINK__" hidden="1">{"fdsup://directions/FAT Viewer?action=UPDATE&amp;creator=factset&amp;DYN_ARGS=TRUE&amp;DOC_NAME=FAT:FQL_AUDITING_CLIENT_TEMPLATE.FAT&amp;display_string=Audit&amp;VAR:KEY=VIHUFWVOJQ&amp;VAR:QUERY=KChGRl9FTlRSUFJfVkFMX0RBSUxZKDQwNjY5LCwsLCwnRElMJykvSUNfRVNUSU1BVEUoRUJJVERBLE1FQU4sT","lRNXzRRLCw0MDY2OSkpQEZFX1ZBTFVBVElPTignRVZfRUJJVERBJywnTUVBTicsJ05UTUEnLCcnLDQwNjY5LCwsJycpKQ==&amp;WINDOW=FIRST_POPUP&amp;HEIGHT=450&amp;WIDTH=450&amp;START_MAXIMIZED=FALSE&amp;VAR:CALENDAR=US&amp;VAR:SYMBOL=464373&amp;VAR:INDEX=0"}</definedName>
    <definedName name="_79__FDSAUDITLINK__" hidden="1">{"fdsup://directions/FAT Viewer?action=UPDATE&amp;creator=factset&amp;DYN_ARGS=TRUE&amp;DOC_NAME=FAT:FQL_AUDITING_CLIENT_TEMPLATE.FAT&amp;display_string=Audit&amp;VAR:KEY=MBOJANMTUT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DDS&amp;VAR:INDEX=0"}</definedName>
    <definedName name="_8__FDSAUDITLINK__" hidden="1">{"fdsup://directions/FAT Viewer?action=UPDATE&amp;creator=factset&amp;DYN_ARGS=TRUE&amp;DOC_NAME=FAT:FQL_AUDITING_CLIENT_TEMPLATE.FAT&amp;display_string=Audit&amp;VAR:KEY=DCVULWRIVI&amp;VAR:QUERY=KChGRl9FTlRSUFJfVkFMX0RBSUxZKDQwNzI0LCwsLCwnRElMJykvSUNfRVNUSU1BVEUoRUJJVERBLE1FQU4sT","lRNXzRRLCw0MDcyNCkpQEZFX1ZBTFVBVElPTignRVZfRUJJVERBJywnTUVBTicsJ05UTUEnLCcnLDQwNzI0LCwsJycpKQ==&amp;WINDOW=FIRST_POPUP&amp;HEIGHT=450&amp;WIDTH=450&amp;START_MAXIMIZED=FALSE&amp;VAR:CALENDAR=US&amp;VAR:SYMBOL=TIF&amp;VAR:INDEX=0"}</definedName>
    <definedName name="_8_0FAMERangeSheet">#REF!</definedName>
    <definedName name="_80__FDSAUDITLINK__" hidden="1">{"fdsup://directions/FAT Viewer?action=UPDATE&amp;creator=factset&amp;DYN_ARGS=TRUE&amp;DOC_NAME=FAT:FQL_AUDITING_CLIENT_TEMPLATE.FAT&amp;display_string=Audit&amp;VAR:KEY=GPGDWFQRUZ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HTSI&amp;VAR:INDEX=0"}</definedName>
    <definedName name="_80_0UniqueRang">#REF!</definedName>
    <definedName name="_81__FDSAUDITLINK__" hidden="1">{"fdsup://directions/FAT Viewer?action=UPDATE&amp;creator=factset&amp;DYN_ARGS=TRUE&amp;DOC_NAME=FAT:FQL_AUDITING_CLIENT_TEMPLATE.FAT&amp;display_string=Audit&amp;VAR:KEY=OXSNGLYDQB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NAFC&amp;VAR:INDEX=0"}</definedName>
    <definedName name="_81_0UniqueRang">#REF!</definedName>
    <definedName name="_82__FDSAUDITLINK__" hidden="1">{"fdsup://directions/FAT Viewer?action=UPDATE&amp;creator=factset&amp;DYN_ARGS=TRUE&amp;DOC_NAME=FAT:FQL_AUDITING_CLIENT_TEMPLATE.FAT&amp;display_string=Audit&amp;VAR:KEY=SDGBURSJSV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SYY&amp;VAR:INDEX=0"}</definedName>
    <definedName name="_83__FDSAUDITLINK__" hidden="1">{"fdsup://directions/FAT Viewer?action=UPDATE&amp;creator=factset&amp;DYN_ARGS=TRUE&amp;DOC_NAME=FAT:FQL_AUDITING_CLIENT_TEMPLATE.FAT&amp;display_string=Audit&amp;VAR:KEY=GJQPCXKRAV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UNFI&amp;VAR:INDEX=0"}</definedName>
    <definedName name="_84__FDSAUDITLINK__" hidden="1">{"fdsup://directions/FAT Viewer?action=UPDATE&amp;creator=factset&amp;DYN_ARGS=TRUE&amp;DOC_NAME=FAT:FQL_AUDITING_CLIENT_TEMPLATE.FAT&amp;display_string=Audit&amp;VAR:KEY=GJMLKBCBUL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SVU&amp;VAR:INDEX=0"}</definedName>
    <definedName name="_85__FDSAUDITLINK__" hidden="1">{"fdsup://directions/FAT Viewer?action=UPDATE&amp;creator=factset&amp;DYN_ARGS=TRUE&amp;DOC_NAME=FAT:FQL_AUDITING_CLIENT_TEMPLATE.FAT&amp;display_string=Audit&amp;VAR:KEY=CROBWVGLIP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TFM&amp;VAR:INDEX=0"}</definedName>
    <definedName name="_86__FDSAUDITLINK__" hidden="1">{"fdsup://directions/FAT Viewer?action=UPDATE&amp;creator=factset&amp;DYN_ARGS=TRUE&amp;DOC_NAME=FAT:FQL_AUDITING_CLIENT_TEMPLATE.FAT&amp;display_string=Audit&amp;VAR:KEY=AXUVCDAVOD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WFM&amp;VAR:INDEX=0"}</definedName>
    <definedName name="_87__FDSAUDITLINK__" hidden="1">{"fdsup://directions/FAT Viewer?action=UPDATE&amp;creator=factset&amp;DYN_ARGS=TRUE&amp;DOC_NAME=FAT:FQL_AUDITING_CLIENT_TEMPLATE.FAT&amp;display_string=Audit&amp;VAR:KEY=ELCTMBYDGJ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SWY&amp;VAR:INDEX=0"}</definedName>
    <definedName name="_88__FDSAUDITLINK__" hidden="1">{"fdsup://directions/FAT Viewer?action=UPDATE&amp;creator=factset&amp;DYN_ARGS=TRUE&amp;DOC_NAME=FAT:FQL_AUDITING_CLIENT_TEMPLATE.FAT&amp;display_string=Audit&amp;VAR:KEY=QZILIZYVAP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KR&amp;VAR:INDEX=0"}</definedName>
    <definedName name="_89_._0Debt_Total_capi">#REF!</definedName>
    <definedName name="_89__FDSAUDITLINK__" hidden="1">{"fdsup://directions/FAT Viewer?action=UPDATE&amp;creator=factset&amp;DYN_ARGS=TRUE&amp;DOC_NAME=FAT:FQL_AUDITING_CLIENT_TEMPLATE.FAT&amp;display_string=Audit&amp;VAR:KEY=SXIRQTALIX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NILE&amp;VAR:INDEX=0"}</definedName>
    <definedName name="_9__FDSAUDITLINK__" hidden="1">{"fdsup://directions/FAT Viewer?action=UPDATE&amp;creator=factset&amp;DYN_ARGS=TRUE&amp;DOC_NAME=FAT:FQL_AUDITING_CLIENT_TEMPLATE.FAT&amp;display_string=Audit&amp;VAR:KEY=VYBYDCDEDC&amp;VAR:QUERY=KChGRl9FTlRSUFJfVkFMX0RBSUxZKDQwNjQxLCwsLCwnRElMJykvSUNfRVNUSU1BVEUoRUJJVERBLE1FQU4sT","lRNXzRRLCw0MDY0MSkpQEZFX1ZBTFVBVElPTignRVZfRUJJVERBJywnTUVBTicsJ05UTUEnLCcnLDQwNjQxLCwsJycpKQ==&amp;WINDOW=FIRST_POPUP&amp;HEIGHT=450&amp;WIDTH=450&amp;START_MAXIMIZED=FALSE&amp;VAR:CALENDAR=US&amp;VAR:SYMBOL=SKS&amp;VAR:INDEX=0"}</definedName>
    <definedName name="_9_0FAMERangeSheet">#REF!</definedName>
    <definedName name="_90_._0Debt_Total_capi">#REF!</definedName>
    <definedName name="_90__FDSAUDITLINK__" hidden="1">{"fdsup://directions/FAT Viewer?action=UPDATE&amp;creator=factset&amp;DYN_ARGS=TRUE&amp;DOC_NAME=FAT:FQL_AUDITING_CLIENT_TEMPLATE.FAT&amp;display_string=Audit&amp;VAR:KEY=UFQVUDIDEH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WRC&amp;VAR:INDEX=0"}</definedName>
    <definedName name="_91__FDSAUDITLINK__" hidden="1">{"fdsup://directions/FAT Viewer?action=UPDATE&amp;creator=factset&amp;DYN_ARGS=TRUE&amp;DOC_NAME=FAT:FQL_AUDITING_CLIENT_TEMPLATE.FAT&amp;display_string=Audit&amp;VAR:KEY=IZWNWDYNQD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PVH&amp;VAR:INDEX=0"}</definedName>
    <definedName name="_92__FDSAUDITLINK__" hidden="1">{"fdsup://directions/FAT Viewer?action=UPDATE&amp;creator=factset&amp;DYN_ARGS=TRUE&amp;DOC_NAME=FAT:FQL_AUDITING_CLIENT_TEMPLATE.FAT&amp;display_string=Audit&amp;VAR:KEY=OLOHAFCFMH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JNY&amp;VAR:INDEX=0"}</definedName>
    <definedName name="_93__FDSAUDITLINK__" hidden="1">{"fdsup://directions/FAT Viewer?action=UPDATE&amp;creator=factset&amp;DYN_ARGS=TRUE&amp;DOC_NAME=FAT:FQL_AUDITING_CLIENT_TEMPLATE.FAT&amp;display_string=Audit&amp;VAR:KEY=SHUJKRWTAX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RL&amp;VAR:INDEX=0"}</definedName>
    <definedName name="_94__FDSAUDITLINK__" hidden="1">{"fdsup://directions/FAT Viewer?action=UPDATE&amp;creator=factset&amp;DYN_ARGS=TRUE&amp;DOC_NAME=FAT:FQL_AUDITING_CLIENT_TEMPLATE.FAT&amp;display_string=Audit&amp;VAR:KEY=CZABEJGBOJ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TIF&amp;VAR:INDEX=0"}</definedName>
    <definedName name="_95__FDSAUDITLINK__" hidden="1">{"fdsup://directions/FAT Viewer?action=UPDATE&amp;creator=factset&amp;DYN_ARGS=TRUE&amp;DOC_NAME=FAT:FQL_AUDITING_CLIENT_TEMPLATE.FAT&amp;display_string=Audit&amp;VAR:KEY=QTUNGDMRSB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SHLD&amp;VAR:INDEX=0"}</definedName>
    <definedName name="_96__FDSAUDITLINK__" hidden="1">{"fdsup://directions/FAT Viewer?action=UPDATE&amp;creator=factset&amp;DYN_ARGS=TRUE&amp;DOC_NAME=FAT:FQL_AUDITING_CLIENT_TEMPLATE.FAT&amp;display_string=Audit&amp;VAR:KEY=GXEJGJSVQX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SKS&amp;VAR:INDEX=0"}</definedName>
    <definedName name="_97__FDSAUDITLINK__" hidden="1">{"fdsup://directions/FAT Viewer?action=UPDATE&amp;creator=factset&amp;DYN_ARGS=TRUE&amp;DOC_NAME=FAT:FQL_AUDITING_CLIENT_TEMPLATE.FAT&amp;display_string=Audit&amp;VAR:KEY=OBOTKLUZIR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JWN&amp;VAR:INDEX=0"}</definedName>
    <definedName name="_98_._0Gross_inc_gro">#REF!</definedName>
    <definedName name="_98__FDSAUDITLINK__" hidden="1">{"fdsup://directions/FAT Viewer?action=UPDATE&amp;creator=factset&amp;DYN_ARGS=TRUE&amp;DOC_NAME=FAT:FQL_AUDITING_CLIENT_TEMPLATE.FAT&amp;display_string=Audit&amp;VAR:KEY=KFUVMTCXKD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M&amp;VAR:INDEX=0"}</definedName>
    <definedName name="_99_._0Gross_inc_gro">#REF!</definedName>
    <definedName name="_99__FDSAUDITLINK__" hidden="1">{"fdsup://directions/FAT Viewer?action=UPDATE&amp;creator=factset&amp;DYN_ARGS=TRUE&amp;DOC_NAME=FAT:FQL_AUDITING_CLIENT_TEMPLATE.FAT&amp;display_string=Audit&amp;VAR:KEY=ATMJAPERQR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JCP&amp;VAR:INDEX=0"}</definedName>
    <definedName name="_APL1">#REF!</definedName>
    <definedName name="_APL2">#REF!</definedName>
    <definedName name="_bdm.1FB9E2F6A6B44DBDA49BC3E2D4780188.edm" hidden="1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CF2">#REF!</definedName>
    <definedName name="_DCF22">#REF!</definedName>
    <definedName name="_equ91">#REF!</definedName>
    <definedName name="_Fill" hidden="1">#REF!</definedName>
    <definedName name="_FYE1">#REF!</definedName>
    <definedName name="_FYE22">#REF!</definedName>
    <definedName name="_Key1" hidden="1">#REF!</definedName>
    <definedName name="_ly2">#REF!</definedName>
    <definedName name="_Order1" hidden="1">255</definedName>
    <definedName name="_q1">#REF!</definedName>
    <definedName name="_QF1">#REF!</definedName>
    <definedName name="_QF2">#REF!</definedName>
    <definedName name="_QF3">#REF!</definedName>
    <definedName name="_QF4">#REF!</definedName>
    <definedName name="_QF5">#REF!</definedName>
    <definedName name="_QF6">#REF!</definedName>
    <definedName name="_Report">"model"</definedName>
    <definedName name="_S_Base">{0.1;0;0.382758620689655;0;0;0;0.258620689655172;0;0.258620689655172}</definedName>
    <definedName name="_S_new_case">{0.1;0;0.45;0;0;0;0;0;0.45}</definedName>
    <definedName name="_SBaseRef">#REF!</definedName>
    <definedName name="_sls94">#REF!</definedName>
    <definedName name="_sls95">#REF!</definedName>
    <definedName name="_Sort" hidden="1">#REF!</definedName>
    <definedName name="_Table2_Out" hidden="1">#REF!</definedName>
    <definedName name="_total">#REF!</definedName>
    <definedName name="_UUID_" hidden="1">26909</definedName>
    <definedName name="_WHO2" hidden="1">{#N/A,#N/A,FALSE,"SUMMARY";#N/A,#N/A,FALSE,"DETAIL";#N/A,#N/A,FALSE,"VARIANCE"}</definedName>
    <definedName name="_Zaaleswork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baladj">{0;0;0;0;1;1;0;0;0;0;2;FALSE;FALSE;FALSE;FALSE;FALSE;#N/A;1;#N/A;1;1;"";""}</definedName>
    <definedName name="_ZEV">{0;0;0;0;1;#N/A;0.75;0.75;1;1;1;FALSE;FALSE;FALSE;FALSE;FALSE;#N/A;1;100;#N/A;#N/A;"&amp;A";"Page &amp;P"}</definedName>
    <definedName name="_Zmodel">{0;0;0;0;1;1;0.25;0.25;0.75;0.25;2;FALSE;FALSE;FALSE;FALSE;FALSE;#N/A;1;75;#N/A;#N/A;"";""}</definedName>
    <definedName name="_Zsummary">{0;0;0;0;1;1;0.85;0.87;0.5;0.5;1;FALSE;FALSE;FALSE;FALSE;FALSE;#N/A;1;100;#N/A;#N/A;"";""}</definedName>
    <definedName name="_Zwhole_model">{0;0;0;0;1;1;0.25;0;0.75;0.5;2;FALSE;FALSE;FALSE;FALSE;FALSE;#N/A;1;77;#N/A;#N/A;"";""}</definedName>
    <definedName name="_Zwholemodel">{0;0;0;0;1;1;0.25;0;0.75;0.5;2;FALSE;FALSE;FALSE;FALSE;FALSE;#N/A;1;77;#N/A;#N/A;"";""}</definedName>
    <definedName name="A">#REF!</definedName>
    <definedName name="A_ALL_BURL_">#REF!</definedName>
    <definedName name="A_ALL_CASY">#REF!</definedName>
    <definedName name="A_ALL_KEYWORDS_TYPE_ScalarContributed_EQTY_200001089">#REF!,#REF!,#REF!,#REF!</definedName>
    <definedName name="A_ALL_KEYWORDS_TYPE_ScalarContributed_EQTY_200001343">#REF!,#REF!,#REF!,#REF!</definedName>
    <definedName name="A_ALL_KEYWORDS_TYPE_ScalarContributed_EQTY_200001473">#REF!,#REF!,#REF!,#REF!</definedName>
    <definedName name="A_ALL_KEYWORDS_TYPE_ScalarContributed_EQTY_200001764">#REF!,#REF!,#REF!,#REF!</definedName>
    <definedName name="A_ALL_KEYWORDS_TYPE_ScalarContributed_EQTY_200001864">#REF!,#REF!,#REF!,#REF!</definedName>
    <definedName name="A_ALL_KEYWORDS_TYPE_ScalarContributed_EQTY_200002237">#REF!,#REF!,#REF!,#REF!</definedName>
    <definedName name="A_ALL_KEYWORDS_TYPE_ScalarContributed_EQTY_200002364" localSheetId="0">#REF!,#REF!,#REF!,#REF!</definedName>
    <definedName name="A_ALL_KEYWORDS_TYPE_ScalarContributed_EQTY_200002364">#REF!,#REF!,#REF!,#REF!</definedName>
    <definedName name="A_ALL_KEYWORDS_TYPE_ScalarContributed_EQTY_200004515">#REF!,#REF!,#REF!,#REF!</definedName>
    <definedName name="A_ALL_KEYWORDS_TYPE_ScalarContributed_EQTY_200007724">#REF!,#REF!,#REF!,#REF!</definedName>
    <definedName name="A_ALL_KEYWORDS_TYPE_ScalarContributed_EQTY_200007875">#REF!,#REF!,#REF!,#REF!</definedName>
    <definedName name="A_ALL_KEYWORDS_TYPE_ScalarContributed_EQTY_200009855">#REF!,#REF!,#REF!,#REF!,#REF!</definedName>
    <definedName name="A_ALL_KEYWORDS_TYPE_ScalarContributed_EQTY_200010773">#REF!,#REF!,#REF!,#REF!</definedName>
    <definedName name="A_ALL_KEYWORDS_TYPE_ScalarContributed_EQTY_200011489">#REF!,#REF!,#REF!,#REF!</definedName>
    <definedName name="A_ALL_KEYWORDS_TYPE_ScalarContributed_EQTY_200012699">#REF!,#REF!,#REF!,#REF!</definedName>
    <definedName name="A_ALL_KEYWORDS_TYPE_ScalarContributed_EQTY_200015048" localSheetId="0">#REF!,#REF!,#REF!,#REF!</definedName>
    <definedName name="A_ALL_KEYWORDS_TYPE_ScalarContributed_EQTY_200015048">#REF!,#REF!,#REF!,#REF!</definedName>
    <definedName name="A_ALL_KEYWORDS_TYPE_ScalarContributed_EQTY_200016154">#REF!,#REF!,#REF!,#REF!</definedName>
    <definedName name="A_ALL_KEYWORDS_TYPE_ScalarContributed_ISSR_208000322">#REF!,#REF!</definedName>
    <definedName name="A_ALL_KEYWORDS_TYPE_ScalarContributed_ISSR_208000694">#REF!,#REF!</definedName>
    <definedName name="A_ALL_KEYWORDS_TYPE_ScalarContributed_ISSR_208000814">#REF!,#REF!</definedName>
    <definedName name="A_ALL_KEYWORDS_TYPE_ScalarContributed_ISSR_208000856" localSheetId="0">#REF!,#REF!</definedName>
    <definedName name="A_ALL_KEYWORDS_TYPE_ScalarContributed_ISSR_208000856">#REF!,#REF!</definedName>
    <definedName name="A_ALL_KEYWORDS_TYPE_Vector_EQTY_200001089">#REF!,#REF!,#REF!,#REF!,#REF!,#REF!,#REF!</definedName>
    <definedName name="A_ALL_KEYWORDS_TYPE_Vector_EQTY_200001274">#REF!,#REF!,#REF!,#REF!,#REF!,#REF!,#REF!</definedName>
    <definedName name="A_ALL_KEYWORDS_TYPE_Vector_EQTY_200001473">#REF!,#REF!,#REF!,#REF!,#REF!,#REF!,#REF!,#REF!</definedName>
    <definedName name="A_ALL_KEYWORDS_TYPE_Vector_EQTY_200001764">#REF!,#REF!,#REF!,#REF!,#REF!,#REF!,#REF!</definedName>
    <definedName name="A_ALL_KEYWORDS_TYPE_Vector_EQTY_200001864">#REF!,#REF!,#REF!,#REF!,#REF!,#REF!,#REF!</definedName>
    <definedName name="A_ALL_KEYWORDS_TYPE_Vector_EQTY_200002237" localSheetId="0">#REF!,#REF!,#REF!,#REF!,#REF!,#REF!,#REF!,#REF!</definedName>
    <definedName name="A_ALL_KEYWORDS_TYPE_Vector_EQTY_200002237">#REF!,#REF!,#REF!,#REF!,#REF!,#REF!,#REF!,#REF!</definedName>
    <definedName name="A_ALL_KEYWORDS_TYPE_Vector_EQTY_200002364" localSheetId="0">#REF!,#REF!,#REF!,#REF!,#REF!,#REF!,#REF!</definedName>
    <definedName name="A_ALL_KEYWORDS_TYPE_Vector_EQTY_200002364">#REF!,#REF!,#REF!,#REF!,#REF!,#REF!,#REF!</definedName>
    <definedName name="A_ALL_KEYWORDS_TYPE_Vector_EQTY_200004515">#REF!,#REF!,#REF!,#REF!,#REF!,#REF!,#REF!</definedName>
    <definedName name="A_ALL_KEYWORDS_TYPE_Vector_EQTY_200007724">#REF!,#REF!,#REF!,#REF!,#REF!,#REF!,#REF!</definedName>
    <definedName name="A_ALL_KEYWORDS_TYPE_Vector_EQTY_200007875">#REF!,#REF!,#REF!,#REF!,#REF!,#REF!,#REF!</definedName>
    <definedName name="A_ALL_KEYWORDS_TYPE_Vector_EQTY_200010773">#REF!,#REF!,#REF!,#REF!,#REF!,#REF!,#REF!,#REF!</definedName>
    <definedName name="A_ALL_KEYWORDS_TYPE_Vector_EQTY_200011489">#REF!,#REF!,#REF!,#REF!,#REF!,#REF!,#REF!</definedName>
    <definedName name="A_ALL_KEYWORDS_TYPE_Vector_EQTY_200012699">#REF!,#REF!,#REF!,#REF!,#REF!,#REF!,#REF!</definedName>
    <definedName name="A_ALL_KEYWORDS_TYPE_Vector_EQTY_200015048" localSheetId="0">#REF!,#REF!,#REF!,#REF!,#REF!,#REF!,#REF!</definedName>
    <definedName name="A_ALL_KEYWORDS_TYPE_Vector_EQTY_200015048">#REF!,#REF!,#REF!,#REF!,#REF!,#REF!,#REF!</definedName>
    <definedName name="A_ALL_KEYWORDS_TYPE_Vector_EQTY_200016154">#REF!,#REF!,#REF!,#REF!,#REF!,#REF!,#REF!</definedName>
    <definedName name="A_ALL_KEYWORDS_TYPE_Vector_ISSR_208000322">#REF!,#REF!,#REF!,#REF!,#REF!,#REF!,#REF!,#REF!,#REF!,#REF!,#REF!,#REF!</definedName>
    <definedName name="A_ALL_KEYWORDS_TYPE_Vector_ISSR_208000407">#REF!,#REF!,#REF!,#REF!,#REF!,#REF!,#REF!,#REF!,#REF!,#REF!,#REF!,#REF!,#REF!,#REF!,#REF!</definedName>
    <definedName name="A_ALL_KEYWORDS_TYPE_Vector_ISSR_208000694">#REF!,#REF!,#REF!,#REF!,#REF!,#REF!,#REF!,#REF!,#REF!,#REF!,#REF!,#REF!,#REF!,#REF!</definedName>
    <definedName name="A_ALL_KEYWORDS_TYPE_Vector_ISSR_208000814" localSheetId="0">#REF!,#REF!,#REF!,#REF!,#REF!,#REF!,#REF!,#REF!,#REF!,#REF!,#REF!,#REF!,#REF!,#REF!,#REF!,#REF!,#REF!</definedName>
    <definedName name="A_ALL_KEYWORDS_TYPE_Vector_ISSR_208000814">#REF!,#REF!,#REF!,#REF!,#REF!,#REF!,#REF!,#REF!,#REF!,#REF!,#REF!,#REF!,#REF!,#REF!,#REF!,#REF!,#REF!</definedName>
    <definedName name="A_ALL_KEYWORDS_TYPE_Vector_ISSR_208000856" localSheetId="0">#REF!,#REF!,#REF!,#REF!,#REF!,#REF!,#REF!,#REF!,#REF!,#REF!,#REF!,#REF!</definedName>
    <definedName name="A_ALL_KEYWORDS_TYPE_Vector_ISSR_208000856">#REF!,#REF!,#REF!,#REF!,#REF!,#REF!,#REF!,#REF!,#REF!,#REF!,#REF!,#REF!</definedName>
    <definedName name="A_ALL_KEYWORDS_TYPE_Vector_ISSR_208001278">#REF!,#REF!,#REF!,#REF!,#REF!,#REF!,#REF!,#REF!,#REF!,#REF!</definedName>
    <definedName name="A_ALL_KEYWORDS_TYPE_Vector_ISSR_208002583">#REF!,#REF!,#REF!,#REF!,#REF!,#REF!,#REF!,#REF!,#REF!,#REF!,#REF!,#REF!,#REF!,#REF!,#REF!,#REF!,#REF!</definedName>
    <definedName name="A_ALL_KEYWORDS_TYPE_Vector_ISSR_208003330">#REF!,#REF!,#REF!,#REF!,#REF!,#REF!,#REF!,#REF!,#REF!,#REF!</definedName>
    <definedName name="A_ALL_KEYWORDS_TYPE_Vector_ISSR_208004185">#REF!,#REF!,#REF!,#REF!,#REF!,#REF!,#REF!,#REF!,#REF!,#REF!,#REF!,#REF!,#REF!,#REF!,#REF!,#REF!,#REF!</definedName>
    <definedName name="A_ALL_KEYWORDS_TYPE_Vector_ISSR_208006110">#REF!,#REF!,#REF!,#REF!,#REF!,#REF!,#REF!,#REF!,#REF!,#REF!,#REF!,#REF!,#REF!,#REF!,#REF!,#REF!,#REF!</definedName>
    <definedName name="A_ALL_KEYWORDS_TYPE_Vector_ISSR_208008254">#REF!,#REF!,#REF!,#REF!,#REF!,#REF!,#REF!,#REF!,#REF!,#REF!,#REF!,#REF!,#REF!,#REF!</definedName>
    <definedName name="A_ALL_KEYWORDS_TYPE_Vector_ISSR_208008775">#REF!,#REF!,#REF!,#REF!,#REF!,#REF!,#REF!,#REF!,#REF!,#REF!</definedName>
    <definedName name="A_ALL_KEYWORDS_TYPE_Vector_ISSR_208009666">#REF!,#REF!,#REF!,#REF!,#REF!,#REF!,#REF!,#REF!,#REF!,#REF!</definedName>
    <definedName name="A_ALL_KEYWORDS_TYPE_Vector_ISSR_208011805" localSheetId="0">#REF!,#REF!,#REF!,#REF!,#REF!,#REF!,#REF!,#REF!,#REF!,#REF!,#REF!</definedName>
    <definedName name="A_ALL_KEYWORDS_TYPE_Vector_ISSR_208011805">#REF!,#REF!,#REF!,#REF!,#REF!,#REF!,#REF!,#REF!,#REF!,#REF!,#REF!</definedName>
    <definedName name="A_ALL_KEYWORDS_TYPE_Vector_ISSR_208011830">#REF!,#REF!,#REF!,#REF!,#REF!,#REF!,#REF!,#REF!,#REF!,#REF!,#REF!,#REF!,#REF!</definedName>
    <definedName name="A_ALL_LULU">#REF!</definedName>
    <definedName name="A_ALL_LULU_">#REF!</definedName>
    <definedName name="A_ALL_M">#REF!</definedName>
    <definedName name="A_ALL_NKE_" localSheetId="0">#REF!</definedName>
    <definedName name="A_ALL_NKE_">#REF!</definedName>
    <definedName name="A_ALL_PVH_">#REF!</definedName>
    <definedName name="A_ALL_RL" localSheetId="0">#REF!</definedName>
    <definedName name="A_ALL_RL">#REF!</definedName>
    <definedName name="A_ALL_SECTION_KEYWORDS_EQTY_200009855_13A">#REF!</definedName>
    <definedName name="A_ALL_SECTION_KEYWORDS_EQTY_200009855_13K">#REF!</definedName>
    <definedName name="A_ALL_SECTION_KEYWORDS_ISSR_208000407_13168">#REF!,#REF!</definedName>
    <definedName name="A_ALL_SECTION_KEYWORDS_ISSR_208000407_136E">#REF!,#REF!</definedName>
    <definedName name="A_ALL_SECTION_KEYWORDS_ISSR_208000443_136E">#REF!,#REF!</definedName>
    <definedName name="A_ALL_SECTION_KEYWORDS_ISSR_208000443_136J">#REF!,#REF!</definedName>
    <definedName name="A_ALL_SECTION_KEYWORDS_ISSR_208000814_13168">#REF!,#REF!</definedName>
    <definedName name="A_ALL_SECTION_KEYWORDS_ISSR_208000814_136E">#REF!,#REF!</definedName>
    <definedName name="A_ALL_SECTION_KEYWORDS_ISSR_208007601_1314">#REF!</definedName>
    <definedName name="A_ALL_SECTION_KEYWORDS_ISSR_208007601_13168">#REF!,#REF!</definedName>
    <definedName name="A_ALL_SECTION_KEYWORDS_ISSR_208007601_1316S">#REF!,#REF!</definedName>
    <definedName name="A_ALL_SECTION_KEYWORDS_ISSR_208007601_1316T">#REF!</definedName>
    <definedName name="A_ALL_SECTION_KEYWORDS_ISSR_208007601_1319">#REF!</definedName>
    <definedName name="A_ALL_SECTION_KEYWORDS_ISSR_208007601_131E">#REF!</definedName>
    <definedName name="A_ALL_SECTION_KEYWORDS_ISSR_208007601_136E">#REF!,#REF!</definedName>
    <definedName name="A_ALL_SECTION_KEYWORDS_ISSR_208007601_136J">#REF!</definedName>
    <definedName name="A_ALL_SECTION_KEYWORDS_ISSR_208007601_13V">#REF!,#REF!</definedName>
    <definedName name="A_ALL_SECTION_KEYWORDS_ISSR_208008254_136E">#REF!,#REF!</definedName>
    <definedName name="A_ALL_SECTION_KEYWORDS_ISSR_208008254_136J">#REF!,#REF!</definedName>
    <definedName name="A_ALL_SECTION_KEYWORDS_ISSR_208013254_13V">#REF!,#REF!</definedName>
    <definedName name="A_ALL_SECTIONS_EQTY_200001089">#REF!,#REF!,#REF!,#REF!,#REF!,#REF!,#REF!,#REF!,#REF!,#REF!</definedName>
    <definedName name="A_ALL_SECTIONS_EQTY_200001343">#REF!,#REF!,#REF!,#REF!,#REF!,#REF!,#REF!,#REF!,#REF!,#REF!</definedName>
    <definedName name="A_ALL_SECTIONS_EQTY_200001473">#REF!,#REF!,#REF!,#REF!,#REF!,#REF!,#REF!,#REF!,#REF!,#REF!</definedName>
    <definedName name="A_ALL_SECTIONS_EQTY_200001764">#REF!,#REF!,#REF!,#REF!,#REF!,#REF!,#REF!,#REF!,#REF!,#REF!</definedName>
    <definedName name="A_ALL_SECTIONS_EQTY_200002237">#REF!,#REF!,#REF!,#REF!,#REF!,#REF!,#REF!,#REF!,#REF!,#REF!</definedName>
    <definedName name="A_ALL_SECTIONS_EQTY_200002364" localSheetId="0">#REF!,#REF!,#REF!,#REF!,#REF!,#REF!,#REF!,#REF!,#REF!,#REF!</definedName>
    <definedName name="A_ALL_SECTIONS_EQTY_200002364">#REF!,#REF!,#REF!,#REF!,#REF!,#REF!,#REF!,#REF!,#REF!,#REF!</definedName>
    <definedName name="A_ALL_SECTIONS_EQTY_200004515">#REF!,#REF!,#REF!,#REF!,#REF!,#REF!,#REF!,#REF!,#REF!,#REF!</definedName>
    <definedName name="A_ALL_SECTIONS_EQTY_200007724">#REF!,#REF!,#REF!,#REF!,#REF!,#REF!,#REF!,#REF!,#REF!,#REF!</definedName>
    <definedName name="A_ALL_SECTIONS_EQTY_200007875">#REF!,#REF!,#REF!,#REF!,#REF!,#REF!,#REF!,#REF!,#REF!,#REF!</definedName>
    <definedName name="A_ALL_SECTIONS_EQTY_200010773">#REF!,#REF!,#REF!,#REF!,#REF!,#REF!,#REF!,#REF!,#REF!,#REF!</definedName>
    <definedName name="A_ALL_SECTIONS_EQTY_200011489">#REF!,#REF!,#REF!,#REF!,#REF!,#REF!,#REF!,#REF!,#REF!,#REF!</definedName>
    <definedName name="A_ALL_SECTIONS_EQTY_200012699">#REF!,#REF!,#REF!,#REF!,#REF!,#REF!,#REF!,#REF!,#REF!,#REF!</definedName>
    <definedName name="A_ALL_SECTIONS_EQTY_200015048" localSheetId="0">#REF!,#REF!,#REF!,#REF!,#REF!,#REF!,#REF!,#REF!,#REF!,#REF!</definedName>
    <definedName name="A_ALL_SECTIONS_EQTY_200015048">#REF!,#REF!,#REF!,#REF!,#REF!,#REF!,#REF!,#REF!,#REF!,#REF!</definedName>
    <definedName name="A_ALL_SECTIONS_EQTY_200016154">#REF!,#REF!,#REF!,#REF!,#REF!,#REF!,#REF!,#REF!,#REF!,#REF!</definedName>
    <definedName name="A_ALL_SECTIONS_ISSR_208000322">#REF!,#REF!,#REF!,#REF!,#REF!,#REF!,#REF!,#REF!,#REF!,#REF!,#REF!,#REF!</definedName>
    <definedName name="A_ALL_SECTIONS_ISSR_208000814">#REF!,#REF!,#REF!,#REF!,#REF!,#REF!,#REF!,#REF!,#REF!,#REF!,#REF!,#REF!</definedName>
    <definedName name="A_ALL_SECTIONS_ISSR_208000856" localSheetId="0">#REF!,#REF!,#REF!,#REF!,#REF!,#REF!,#REF!,#REF!,#REF!,#REF!,#REF!,#REF!</definedName>
    <definedName name="A_ALL_SECTIONS_ISSR_208000856">#REF!,#REF!,#REF!,#REF!,#REF!,#REF!,#REF!,#REF!,#REF!,#REF!,#REF!,#REF!</definedName>
    <definedName name="A_ALL_SECTIONS_ISSR_208001278">#REF!,#REF!,#REF!,#REF!,#REF!,#REF!,#REF!,#REF!,#REF!,#REF!,#REF!</definedName>
    <definedName name="A_ALL_SECTIONS_ISSR_208002583">#REF!,#REF!,#REF!,#REF!,#REF!,#REF!,#REF!,#REF!,#REF!,#REF!,#REF!,#REF!</definedName>
    <definedName name="A_ALL_SECTIONS_ISSR_208003330">#REF!,#REF!,#REF!,#REF!,#REF!,#REF!,#REF!,#REF!,#REF!,#REF!,#REF!</definedName>
    <definedName name="A_ALL_SECTIONS_ISSR_208004185">#REF!,#REF!,#REF!,#REF!,#REF!,#REF!,#REF!,#REF!,#REF!,#REF!,#REF!,#REF!</definedName>
    <definedName name="A_ALL_SECTIONS_ISSR_208006110">#REF!,#REF!,#REF!,#REF!,#REF!,#REF!,#REF!,#REF!,#REF!,#REF!,#REF!,#REF!</definedName>
    <definedName name="A_ALL_SECTIONS_ISSR_208008775">#REF!,#REF!,#REF!,#REF!,#REF!,#REF!,#REF!,#REF!,#REF!,#REF!,#REF!</definedName>
    <definedName name="A_ALL_SECTIONS_ISSR_208009666">#REF!,#REF!,#REF!,#REF!,#REF!,#REF!,#REF!,#REF!,#REF!,#REF!,#REF!</definedName>
    <definedName name="A_ALL_SECTIONS_ISSR_208011805" localSheetId="0">#REF!,#REF!,#REF!,#REF!,#REF!,#REF!,#REF!,#REF!,#REF!,#REF!,#REF!,#REF!</definedName>
    <definedName name="A_ALL_SECTIONS_ISSR_208011805">#REF!,#REF!,#REF!,#REF!,#REF!,#REF!,#REF!,#REF!,#REF!,#REF!,#REF!,#REF!</definedName>
    <definedName name="A_ALL_SECTIONS_ISSR_208011830">#REF!,#REF!,#REF!,#REF!,#REF!,#REF!,#REF!,#REF!,#REF!,#REF!,#REF!,#REF!,#REF!,#REF!</definedName>
    <definedName name="A_ALL_TFM">#REF!</definedName>
    <definedName name="A_ALL_TUMI" localSheetId="0">#REF!</definedName>
    <definedName name="A_ALL_TUMI">#REF!</definedName>
    <definedName name="A_ALL_UNFI">#REF!</definedName>
    <definedName name="A_ALL_WFM">#REF!</definedName>
    <definedName name="A_KEYWORD_ISSR_208011830_OP_AUSTRA">#REF!</definedName>
    <definedName name="A_KEYWORD_ISSR_208011830_OP_AUSTRIA">#REF!</definedName>
    <definedName name="A_KEYWORD_ISSR_208011830_OP_BEL">#REF!</definedName>
    <definedName name="A_KEYWORD_ISSR_208011830_OP_BRAZIL">#REF!</definedName>
    <definedName name="A_KEYWORD_ISSR_208011830_OP_CANADA">#REF!</definedName>
    <definedName name="A_KEYWORD_ISSR_208011830_OP_CEE">#REF!</definedName>
    <definedName name="A_KEYWORD_ISSR_208011830_OP_CHINA">#REF!</definedName>
    <definedName name="A_KEYWORD_ISSR_208011830_OP_CONS">#REF!</definedName>
    <definedName name="A_KEYWORD_ISSR_208011830_OP_DEN">#REF!</definedName>
    <definedName name="A_KEYWORD_ISSR_208011830_OP_EU_EX_UK">#REF!</definedName>
    <definedName name="A_KEYWORD_ISSR_208011830_OP_FIN">#REF!</definedName>
    <definedName name="A_KEYWORD_ISSR_208011830_OP_FRA">#REF!</definedName>
    <definedName name="A_KEYWORD_ISSR_208011830_OP_GER">#REF!</definedName>
    <definedName name="A_KEYWORD_ISSR_208011830_OP_GOV">#REF!</definedName>
    <definedName name="A_KEYWORD_ISSR_208011830_OP_GRE">#REF!</definedName>
    <definedName name="A_KEYWORD_ISSR_208011830_OP_ICE">#REF!</definedName>
    <definedName name="A_KEYWORD_ISSR_208011830_OP_IND">#REF!</definedName>
    <definedName name="A_KEYWORD_ISSR_208011830_OP_INDIA">#REF!</definedName>
    <definedName name="A_KEYWORD_ISSR_208011830_OP_IRE">#REF!</definedName>
    <definedName name="A_KEYWORD_ISSR_208011830_OP_ITA">#REF!</definedName>
    <definedName name="A_KEYWORD_ISSR_208011830_OP_JAPAN">#REF!</definedName>
    <definedName name="A_KEYWORD_ISSR_208011830_OP_ME">#REF!</definedName>
    <definedName name="A_KEYWORD_ISSR_208011830_OP_NETH">#REF!</definedName>
    <definedName name="A_KEYWORD_ISSR_208011830_OP_NOR">#REF!</definedName>
    <definedName name="A_KEYWORD_ISSR_208011830_OP_NZ">#REF!</definedName>
    <definedName name="A_KEYWORD_ISSR_208011830_OP_OTH_AEJ">#REF!</definedName>
    <definedName name="A_KEYWORD_ISSR_208011830_OP_OTH_AM">#REF!</definedName>
    <definedName name="A_KEYWORD_ISSR_208011830_OP_OTH_EMEA">#REF!</definedName>
    <definedName name="A_KEYWORD_ISSR_208011830_OP_OTHER">#REF!</definedName>
    <definedName name="A_KEYWORD_ISSR_208011830_OP_POR">#REF!</definedName>
    <definedName name="A_KEYWORD_ISSR_208011830_OP_RUSSIA">#REF!</definedName>
    <definedName name="A_KEYWORD_ISSR_208011830_OP_SK">#REF!</definedName>
    <definedName name="A_KEYWORD_ISSR_208011830_OP_SPA">#REF!</definedName>
    <definedName name="A_KEYWORD_ISSR_208011830_OP_SWE">#REF!</definedName>
    <definedName name="A_KEYWORD_ISSR_208011830_OP_SWIT">#REF!</definedName>
    <definedName name="A_KEYWORD_ISSR_208011830_OP_TOT_AM">#REF!</definedName>
    <definedName name="A_KEYWORD_ISSR_208011830_OP_TOT_ASIA">#REF!</definedName>
    <definedName name="A_KEYWORD_ISSR_208011830_OP_TOT_EMEA">#REF!</definedName>
    <definedName name="A_KEYWORD_ISSR_208011830_OP_UK">#REF!</definedName>
    <definedName name="A_KEYWORD_ISSR_208011830_OP_US">#REF!</definedName>
    <definedName name="A_KEYWORD_ISSR_208011830_SALES_AUSTRA">#REF!</definedName>
    <definedName name="A_KEYWORD_ISSR_208011830_SALES_AUSTRIA">#REF!</definedName>
    <definedName name="A_KEYWORD_ISSR_208011830_SALES_BEL">#REF!</definedName>
    <definedName name="A_KEYWORD_ISSR_208011830_SALES_DEN">#REF!</definedName>
    <definedName name="A_KEYWORD_ISSR_208011830_SALES_FIN">#REF!</definedName>
    <definedName name="A_KEYWORD_ISSR_208011830_SALES_FRA">#REF!</definedName>
    <definedName name="A_KEYWORD_ISSR_208011830_SALES_GER">#REF!</definedName>
    <definedName name="A_KEYWORD_ISSR_208011830_SALES_GRE">#REF!</definedName>
    <definedName name="A_KEYWORD_ISSR_208011830_SALES_ICE">#REF!</definedName>
    <definedName name="A_KEYWORD_ISSR_208011830_SALES_IRE">#REF!</definedName>
    <definedName name="A_KEYWORD_ISSR_208011830_SALES_ITA">#REF!</definedName>
    <definedName name="A_KEYWORD_ISSR_208011830_SALES_NETH">#REF!</definedName>
    <definedName name="A_KEYWORD_ISSR_208011830_SALES_NOR">#REF!</definedName>
    <definedName name="A_KEYWORD_ISSR_208011830_SALES_NZ">#REF!</definedName>
    <definedName name="A_KEYWORD_ISSR_208011830_SALES_POR">#REF!</definedName>
    <definedName name="A_KEYWORD_ISSR_208011830_SALES_SK">#REF!</definedName>
    <definedName name="A_KEYWORD_ISSR_208011830_SALES_SPA">#REF!</definedName>
    <definedName name="A_KEYWORD_ISSR_208011830_SALES_SWE">#REF!</definedName>
    <definedName name="A_KEYWORD_ISSR_208011830_SALES_SWIT">#REF!</definedName>
    <definedName name="A_PERIOD_2008">#REF!</definedName>
    <definedName name="A_PERIOD_2009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>#REF!</definedName>
    <definedName name="abc" hidden="1">{#N/A,#N/A,FALSE,"Sheet1";#N/A,#N/A,FALSE,"Sheet2";#N/A,#N/A,FALSE,"Sheet3";#N/A,#N/A,FALSE,"Sheet4";#N/A,#N/A,FALSE,"Sheet5";#N/A,#N/A,FALSE,"Sheet6"}</definedName>
    <definedName name="absolute">#REF!</definedName>
    <definedName name="Accretion_Dilution">#REF!</definedName>
    <definedName name="acq">#REF!</definedName>
    <definedName name="Acq_case">#REF!</definedName>
    <definedName name="ACQticker">#REF!</definedName>
    <definedName name="Acquiror">#REF!</definedName>
    <definedName name="act">#REF!</definedName>
    <definedName name="actvsfcst">#REF!</definedName>
    <definedName name="ad" hidden="1">{#N/A,#N/A,FALSE,"Sheet1";#N/A,#N/A,FALSE,"Sheet2";#N/A,#N/A,FALSE,"Sheet3";#N/A,#N/A,FALSE,"Sheet4";#N/A,#N/A,FALSE,"Sheet5";#N/A,#N/A,FALSE,"Sheet6"}</definedName>
    <definedName name="adcd" hidden="1">{#N/A,#N/A,FALSE,"Sheet8";#N/A,#N/A,FALSE,"Sheet7"}</definedName>
    <definedName name="adf">#REF!</definedName>
    <definedName name="Adjusted_EPS">#REF!</definedName>
    <definedName name="AeroScen">#REF!</definedName>
    <definedName name="all">#REF!,#REF!,#REF!,#REF!,#REF!,#REF!,#REF!,#REF!,#REF!</definedName>
    <definedName name="alpha">#REF!</definedName>
    <definedName name="Amort">#REF!</definedName>
    <definedName name="amtraised">#REF!</definedName>
    <definedName name="analysis">#REF!</definedName>
    <definedName name="annstoreinv">#REF!</definedName>
    <definedName name="annualplbspt">#REF!</definedName>
    <definedName name="annualstore">#REF!</definedName>
    <definedName name="anscount" hidden="1">1</definedName>
    <definedName name="Apparel_Division">"title"</definedName>
    <definedName name="asdf2" hidden="1">{#N/A,#N/A,FALSE,"Mill 5"}</definedName>
    <definedName name="asdf45" hidden="1">{#N/A,#N/A,FALSE,"SUMMARY";#N/A,#N/A,FALSE,"DETAIL";#N/A,#N/A,FALSE,"VARIANCE"}</definedName>
    <definedName name="asdfasdfas" hidden="1">{#N/A,#N/A,FALSE,"Sheet1";#N/A,#N/A,FALSE,"Sheet2";#N/A,#N/A,FALSE,"Sheet3";#N/A,#N/A,FALSE,"Sheet4";#N/A,#N/A,FALSE,"Sheet5";#N/A,#N/A,FALSE,"Sheet6"}</definedName>
    <definedName name="ASSET1">#REF!</definedName>
    <definedName name="ASSUM">#REF!</definedName>
    <definedName name="assump">#REF!</definedName>
    <definedName name="Assumptions">#REF!</definedName>
    <definedName name="average">#REF!</definedName>
    <definedName name="azoavg1y">#REF!</definedName>
    <definedName name="azoavg2y">#REF!</definedName>
    <definedName name="azoavg3y">#REF!</definedName>
    <definedName name="azoavg5y">#REF!</definedName>
    <definedName name="azomax">#REF!</definedName>
    <definedName name="azomax1y">#REF!</definedName>
    <definedName name="azomax2y">#REF!</definedName>
    <definedName name="azomax3y">#REF!</definedName>
    <definedName name="azomax5y">#REF!</definedName>
    <definedName name="azomin">#REF!</definedName>
    <definedName name="azomin1y">#REF!</definedName>
    <definedName name="azomin2y">#REF!</definedName>
    <definedName name="azomin3y">#REF!</definedName>
    <definedName name="azomin5y">#REF!</definedName>
    <definedName name="azorelavg1y">#REF!</definedName>
    <definedName name="azorelavg2y">#REF!</definedName>
    <definedName name="azorelavg3y">#REF!</definedName>
    <definedName name="azorelavg5y">#REF!</definedName>
    <definedName name="azorelmax">#REF!</definedName>
    <definedName name="azorelmax1y">#REF!</definedName>
    <definedName name="azorelmax2y">#REF!</definedName>
    <definedName name="azorelmax3y">#REF!</definedName>
    <definedName name="azorelmax5y">#REF!</definedName>
    <definedName name="azorelmin">#REF!</definedName>
    <definedName name="azorelmin1y">#REF!</definedName>
    <definedName name="azorelmin2y">#REF!</definedName>
    <definedName name="azorelmin3y">#REF!</definedName>
    <definedName name="azorelmin5y">#REF!</definedName>
    <definedName name="b">#REF!</definedName>
    <definedName name="BACK_A">#REF!</definedName>
    <definedName name="balance_sheet">#REF!</definedName>
    <definedName name="BalanceSheet">#REF!</definedName>
    <definedName name="bbyavg1y">#REF!</definedName>
    <definedName name="bbyavg2y">#REF!</definedName>
    <definedName name="bbyavg3y">#REF!</definedName>
    <definedName name="bbyavg5y">#REF!</definedName>
    <definedName name="bbymax">#REF!</definedName>
    <definedName name="bbymax1y">#REF!</definedName>
    <definedName name="bbymax2y">#REF!</definedName>
    <definedName name="bbymax3y">#REF!</definedName>
    <definedName name="bbymax5y">#REF!</definedName>
    <definedName name="bbymin">#REF!</definedName>
    <definedName name="bbymin1y">#REF!</definedName>
    <definedName name="bbymin2y">#REF!</definedName>
    <definedName name="bbymin3y">#REF!</definedName>
    <definedName name="bbymin5y">#REF!</definedName>
    <definedName name="bbyrelavg1y">#REF!</definedName>
    <definedName name="bbyrelavg2y">#REF!</definedName>
    <definedName name="bbyrelavg3y">#REF!</definedName>
    <definedName name="bbyrelavg5y">#REF!</definedName>
    <definedName name="bbyrelmax">#REF!</definedName>
    <definedName name="bbyrelmax1y">#REF!</definedName>
    <definedName name="bbyrelmax2y">#REF!</definedName>
    <definedName name="bbyrelmax3y">#REF!</definedName>
    <definedName name="bbyrelmax5y">#REF!</definedName>
    <definedName name="bbyrelmin">#REF!</definedName>
    <definedName name="bbyrelmin1y">#REF!</definedName>
    <definedName name="bbyrelmin2y">#REF!</definedName>
    <definedName name="bbyrelmin3y">#REF!</definedName>
    <definedName name="bbyrelmin5y">#REF!</definedName>
    <definedName name="belnew" hidden="1">{"IS",#N/A,FALSE,"IS";"RPTIS",#N/A,FALSE,"RPTIS";"STATS",#N/A,FALSE,"STATS";"CELL",#N/A,FALSE,"CELL";"BS",#N/A,FALSE,"BS"}</definedName>
    <definedName name="BLEND">#REF!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ook">#REF!</definedName>
    <definedName name="bridge">#REF!</definedName>
    <definedName name="BRLRATE">#REF!</definedName>
    <definedName name="BROADCASTING">#REF!</definedName>
    <definedName name="BS">#REF!</definedName>
    <definedName name="BS_A">#REF!</definedName>
    <definedName name="BS_a1">#REF!</definedName>
    <definedName name="BS_T">#REF!</definedName>
    <definedName name="BSCF">#REF!</definedName>
    <definedName name="Buttonshow">#REF!</definedName>
    <definedName name="buy">#REF!</definedName>
    <definedName name="buyback">#REF!</definedName>
    <definedName name="bv">#REF!</definedName>
    <definedName name="C_">#REF!</definedName>
    <definedName name="CABLE">#REF!</definedName>
    <definedName name="cagnew" hidden="1">{"IS",#N/A,FALSE,"IS";"RPTIS",#N/A,FALSE,"RPTIS";"STATS",#N/A,FALSE,"STATS";"CELL",#N/A,FALSE,"CELL";"BS",#N/A,FALSE,"BS"}</definedName>
    <definedName name="calculation">#REF!</definedName>
    <definedName name="cap_table">#REF!</definedName>
    <definedName name="CapExExp">#REF!</definedName>
    <definedName name="CapExMain">#REF!</definedName>
    <definedName name="CARTER_S">#REF!</definedName>
    <definedName name="CASE">#REF!</definedName>
    <definedName name="CASE1">#REF!</definedName>
    <definedName name="CASH">#REF!</definedName>
    <definedName name="cash_flow">#REF!</definedName>
    <definedName name="CASH1">#REF!</definedName>
    <definedName name="CashFlow">#REF!</definedName>
    <definedName name="CB">#REF!</definedName>
    <definedName name="CCOLRATE">#REF!</definedName>
    <definedName name="cdaf" hidden="1">{#N/A,#N/A,FALSE,"Sheet1";#N/A,#N/A,FALSE,"Sheet2";#N/A,#N/A,FALSE,"Sheet3";#N/A,#N/A,FALSE,"Sheet4";#N/A,#N/A,FALSE,"Sheet5";#N/A,#N/A,FALSE,"Sheet6"}</definedName>
    <definedName name="CF">#REF!</definedName>
    <definedName name="class">#REF!</definedName>
    <definedName name="close">#REF!</definedName>
    <definedName name="cogs1q03">#REF!</definedName>
    <definedName name="cogs1q04">#REF!</definedName>
    <definedName name="cogs2q03">#REF!</definedName>
    <definedName name="cogs3q03">#REF!</definedName>
    <definedName name="cogs4q03">#REF!</definedName>
    <definedName name="cogsfy02">#REF!</definedName>
    <definedName name="cola">#REF!</definedName>
    <definedName name="COMB">#REF!</definedName>
    <definedName name="COMBBS">#REF!</definedName>
    <definedName name="Combined_MTVN">#REF!</definedName>
    <definedName name="company">#REF!</definedName>
    <definedName name="Company_reported_exceptionals">#REF!</definedName>
    <definedName name="CompanyName">#REF!</definedName>
    <definedName name="COMPS">#REF!</definedName>
    <definedName name="CONTRIB">#REF!</definedName>
    <definedName name="convert">#REF!</definedName>
    <definedName name="crit">#REF!</definedName>
    <definedName name="_xlnm.Criteria">#REF!</definedName>
    <definedName name="CUR">#REF!</definedName>
    <definedName name="currency">#REF!</definedName>
    <definedName name="Current_cost_adjusted_net_income">#REF!</definedName>
    <definedName name="Cwvu.GREY_ALL." hidden="1">#REF!</definedName>
    <definedName name="CYR">"JANUARY 1, 2000"</definedName>
    <definedName name="D">#REF!</definedName>
    <definedName name="DA">#REF!</definedName>
    <definedName name="data">#REF!</definedName>
    <definedName name="Database">#REF!</definedName>
    <definedName name="DATE">#REF!</definedName>
    <definedName name="DCF">#REF!</definedName>
    <definedName name="DCF_A">#REF!</definedName>
    <definedName name="DCF_A2">#REF!</definedName>
    <definedName name="DCF_L">#REF!</definedName>
    <definedName name="dcfyear">#REF!</definedName>
    <definedName name="DCR2_L">#REF!</definedName>
    <definedName name="ddd" hidden="1">{#N/A,#N/A,FALSE,"FAB VENDORS";"BUD SUM",#N/A,FALSE,"BUD SUM WO TEX"}</definedName>
    <definedName name="DEBT">#REF!</definedName>
    <definedName name="debt_schedule">#REF!</definedName>
    <definedName name="debtall">#REF!,#REF!</definedName>
    <definedName name="debtev">#REF!</definedName>
    <definedName name="DebtII">#REF!</definedName>
    <definedName name="DebtIndex">#REF!</definedName>
    <definedName name="dep_amor">#REF!</definedName>
    <definedName name="depr">#REF!</definedName>
    <definedName name="DETAILS">#REF!</definedName>
    <definedName name="dexcase">#REF!</definedName>
    <definedName name="dialog">#REF!</definedName>
    <definedName name="dilshs1q03">#REF!</definedName>
    <definedName name="dilshs1q04">#REF!</definedName>
    <definedName name="dilshs2q03">#REF!</definedName>
    <definedName name="dilshs3q03">#REF!</definedName>
    <definedName name="dilshs4q03">#REF!</definedName>
    <definedName name="dilshsfy02">#REF!</definedName>
    <definedName name="dilshsfy03">#REF!</definedName>
    <definedName name="dis.price">#REF!</definedName>
    <definedName name="Discounted_Cash_Flow_Analysis">#REF!</definedName>
    <definedName name="DiscStoreCount_2004">#REF!</definedName>
    <definedName name="DiscStoreCount_2005">#REF!</definedName>
    <definedName name="DiscStoreCount_2006">#REF!</definedName>
    <definedName name="Division">#REF!</definedName>
    <definedName name="divsum1">#REF!</definedName>
    <definedName name="divsum2">#REF!</definedName>
    <definedName name="DRLRATE">#REF!</definedName>
    <definedName name="DY">#REF!</definedName>
    <definedName name="E">#REF!</definedName>
    <definedName name="E_ALL_BURL">#REF!</definedName>
    <definedName name="E_ALL_CASY">#REF!</definedName>
    <definedName name="E_ALL_COLM">#REF!</definedName>
    <definedName name="E_ALL_DLTR">#REF!</definedName>
    <definedName name="E_ALL_GPS" localSheetId="0">#REF!</definedName>
    <definedName name="E_ALL_GPS">#REF!</definedName>
    <definedName name="E_ALL_JWN">#REF!</definedName>
    <definedName name="E_ALL_KEYWORDS_TYPE_ScalarContributed_EQTY_200001089">#REF!,#REF!,#REF!,#REF!</definedName>
    <definedName name="E_ALL_KEYWORDS_TYPE_ScalarContributed_EQTY_200001343">#REF!,#REF!,#REF!,#REF!</definedName>
    <definedName name="E_ALL_KEYWORDS_TYPE_ScalarContributed_EQTY_200001473">#REF!,#REF!,#REF!,#REF!</definedName>
    <definedName name="E_ALL_KEYWORDS_TYPE_ScalarContributed_EQTY_200001764">#REF!,#REF!,#REF!,#REF!</definedName>
    <definedName name="E_ALL_KEYWORDS_TYPE_ScalarContributed_EQTY_200002237">#REF!,#REF!,#REF!,#REF!</definedName>
    <definedName name="E_ALL_KEYWORDS_TYPE_ScalarContributed_EQTY_200002364" localSheetId="0">#REF!,#REF!,#REF!,#REF!</definedName>
    <definedName name="E_ALL_KEYWORDS_TYPE_ScalarContributed_EQTY_200002364">#REF!,#REF!,#REF!,#REF!</definedName>
    <definedName name="E_ALL_KEYWORDS_TYPE_ScalarContributed_EQTY_200004515">#REF!,#REF!,#REF!,#REF!</definedName>
    <definedName name="E_ALL_KEYWORDS_TYPE_ScalarContributed_EQTY_200007724">#REF!,#REF!,#REF!,#REF!</definedName>
    <definedName name="E_ALL_KEYWORDS_TYPE_ScalarContributed_EQTY_200007875">#REF!,#REF!,#REF!,#REF!</definedName>
    <definedName name="E_ALL_KEYWORDS_TYPE_ScalarContributed_EQTY_200009855">#REF!,#REF!,#REF!,#REF!,#REF!</definedName>
    <definedName name="E_ALL_KEYWORDS_TYPE_ScalarContributed_EQTY_200010773">#REF!,#REF!,#REF!,#REF!</definedName>
    <definedName name="E_ALL_KEYWORDS_TYPE_ScalarContributed_EQTY_200011489">#REF!,#REF!,#REF!,#REF!</definedName>
    <definedName name="E_ALL_KEYWORDS_TYPE_ScalarContributed_EQTY_200012699">#REF!,#REF!,#REF!,#REF!</definedName>
    <definedName name="E_ALL_KEYWORDS_TYPE_ScalarContributed_EQTY_200015048" localSheetId="0">#REF!,#REF!,#REF!,#REF!</definedName>
    <definedName name="E_ALL_KEYWORDS_TYPE_ScalarContributed_EQTY_200015048">#REF!,#REF!,#REF!,#REF!</definedName>
    <definedName name="E_ALL_KEYWORDS_TYPE_ScalarContributed_EQTY_200016154">#REF!,#REF!,#REF!,#REF!</definedName>
    <definedName name="E_ALL_KEYWORDS_TYPE_ScalarContributed_ISSR_208000322">#REF!,#REF!</definedName>
    <definedName name="E_ALL_KEYWORDS_TYPE_ScalarContributed_ISSR_208000694">#REF!,#REF!</definedName>
    <definedName name="E_ALL_KEYWORDS_TYPE_ScalarContributed_ISSR_208000814">#REF!,#REF!</definedName>
    <definedName name="E_ALL_KEYWORDS_TYPE_ScalarContributed_ISSR_208000856" localSheetId="0">#REF!,#REF!</definedName>
    <definedName name="E_ALL_KEYWORDS_TYPE_ScalarContributed_ISSR_208000856">#REF!,#REF!</definedName>
    <definedName name="E_ALL_KEYWORDS_TYPE_Vector_EQTY_200001089">#REF!,#REF!,#REF!,#REF!,#REF!,#REF!,#REF!</definedName>
    <definedName name="E_ALL_KEYWORDS_TYPE_Vector_EQTY_200001274">#REF!,#REF!,#REF!,#REF!,#REF!,#REF!,#REF!</definedName>
    <definedName name="E_ALL_KEYWORDS_TYPE_Vector_EQTY_200001473">#REF!,#REF!,#REF!,#REF!,#REF!,#REF!,#REF!,#REF!</definedName>
    <definedName name="E_ALL_KEYWORDS_TYPE_Vector_EQTY_200001764">#REF!,#REF!,#REF!,#REF!,#REF!,#REF!,#REF!</definedName>
    <definedName name="E_ALL_KEYWORDS_TYPE_Vector_EQTY_200001864">#REF!,#REF!,#REF!,#REF!,#REF!,#REF!,#REF!</definedName>
    <definedName name="E_ALL_KEYWORDS_TYPE_Vector_EQTY_200002237" localSheetId="0">#REF!,#REF!,#REF!,#REF!,#REF!,#REF!,#REF!,#REF!</definedName>
    <definedName name="E_ALL_KEYWORDS_TYPE_Vector_EQTY_200002237">#REF!,#REF!,#REF!,#REF!,#REF!,#REF!,#REF!,#REF!</definedName>
    <definedName name="E_ALL_KEYWORDS_TYPE_Vector_EQTY_200002364" localSheetId="0">#REF!,#REF!,#REF!,#REF!,#REF!,#REF!,#REF!</definedName>
    <definedName name="E_ALL_KEYWORDS_TYPE_Vector_EQTY_200002364">#REF!,#REF!,#REF!,#REF!,#REF!,#REF!,#REF!</definedName>
    <definedName name="E_ALL_KEYWORDS_TYPE_Vector_EQTY_200004515">#REF!,#REF!,#REF!,#REF!,#REF!,#REF!,#REF!</definedName>
    <definedName name="E_ALL_KEYWORDS_TYPE_Vector_EQTY_200007724">#REF!,#REF!,#REF!,#REF!,#REF!,#REF!,#REF!</definedName>
    <definedName name="E_ALL_KEYWORDS_TYPE_Vector_EQTY_200007875">#REF!,#REF!,#REF!,#REF!,#REF!,#REF!,#REF!</definedName>
    <definedName name="E_ALL_KEYWORDS_TYPE_Vector_EQTY_200010773">#REF!,#REF!,#REF!,#REF!,#REF!,#REF!,#REF!,#REF!</definedName>
    <definedName name="E_ALL_KEYWORDS_TYPE_Vector_EQTY_200011489">#REF!,#REF!,#REF!,#REF!,#REF!,#REF!,#REF!</definedName>
    <definedName name="E_ALL_KEYWORDS_TYPE_Vector_EQTY_200012699">#REF!,#REF!,#REF!,#REF!,#REF!,#REF!,#REF!</definedName>
    <definedName name="E_ALL_KEYWORDS_TYPE_Vector_EQTY_200015048" localSheetId="0">#REF!,#REF!,#REF!,#REF!,#REF!,#REF!,#REF!</definedName>
    <definedName name="E_ALL_KEYWORDS_TYPE_Vector_EQTY_200015048">#REF!,#REF!,#REF!,#REF!,#REF!,#REF!,#REF!</definedName>
    <definedName name="E_ALL_KEYWORDS_TYPE_Vector_EQTY_200016154">#REF!,#REF!,#REF!,#REF!,#REF!,#REF!,#REF!</definedName>
    <definedName name="E_ALL_KEYWORDS_TYPE_Vector_ISSR_208000322">#REF!,#REF!,#REF!,#REF!,#REF!,#REF!,#REF!,#REF!,#REF!,#REF!,#REF!,#REF!</definedName>
    <definedName name="E_ALL_KEYWORDS_TYPE_Vector_ISSR_208000694">#REF!,#REF!,#REF!,#REF!,#REF!,#REF!,#REF!,#REF!,#REF!,#REF!,#REF!,#REF!,#REF!,#REF!</definedName>
    <definedName name="E_ALL_KEYWORDS_TYPE_Vector_ISSR_208000814" localSheetId="0">#REF!,#REF!,#REF!,#REF!,#REF!,#REF!,#REF!,#REF!,#REF!,#REF!,#REF!,#REF!,#REF!,#REF!,#REF!,#REF!,#REF!</definedName>
    <definedName name="E_ALL_KEYWORDS_TYPE_Vector_ISSR_208000814">#REF!,#REF!,#REF!,#REF!,#REF!,#REF!,#REF!,#REF!,#REF!,#REF!,#REF!,#REF!,#REF!,#REF!,#REF!,#REF!,#REF!</definedName>
    <definedName name="E_ALL_KEYWORDS_TYPE_Vector_ISSR_208000856" localSheetId="0">#REF!,#REF!,#REF!,#REF!,#REF!,#REF!,#REF!,#REF!,#REF!,#REF!,#REF!,#REF!</definedName>
    <definedName name="E_ALL_KEYWORDS_TYPE_Vector_ISSR_208000856">#REF!,#REF!,#REF!,#REF!,#REF!,#REF!,#REF!,#REF!,#REF!,#REF!,#REF!,#REF!</definedName>
    <definedName name="E_ALL_KEYWORDS_TYPE_Vector_ISSR_208001278">#REF!,#REF!,#REF!,#REF!,#REF!,#REF!,#REF!,#REF!,#REF!,#REF!</definedName>
    <definedName name="E_ALL_KEYWORDS_TYPE_Vector_ISSR_208002583">#REF!,#REF!,#REF!,#REF!,#REF!,#REF!,#REF!,#REF!,#REF!,#REF!,#REF!,#REF!,#REF!,#REF!,#REF!,#REF!,#REF!</definedName>
    <definedName name="E_ALL_KEYWORDS_TYPE_Vector_ISSR_208003330">#REF!,#REF!,#REF!,#REF!,#REF!,#REF!,#REF!,#REF!,#REF!,#REF!</definedName>
    <definedName name="E_ALL_KEYWORDS_TYPE_Vector_ISSR_208004185">#REF!,#REF!,#REF!,#REF!,#REF!,#REF!,#REF!,#REF!,#REF!,#REF!,#REF!,#REF!,#REF!,#REF!,#REF!,#REF!,#REF!</definedName>
    <definedName name="E_ALL_KEYWORDS_TYPE_Vector_ISSR_208006110">#REF!,#REF!,#REF!,#REF!,#REF!,#REF!,#REF!,#REF!,#REF!,#REF!,#REF!,#REF!,#REF!,#REF!,#REF!,#REF!,#REF!</definedName>
    <definedName name="E_ALL_KEYWORDS_TYPE_Vector_ISSR_208008254">#REF!,#REF!,#REF!,#REF!,#REF!,#REF!,#REF!,#REF!,#REF!,#REF!,#REF!,#REF!,#REF!,#REF!</definedName>
    <definedName name="E_ALL_KEYWORDS_TYPE_Vector_ISSR_208008775">#REF!,#REF!,#REF!,#REF!,#REF!,#REF!,#REF!,#REF!,#REF!,#REF!</definedName>
    <definedName name="E_ALL_KEYWORDS_TYPE_Vector_ISSR_208009666">#REF!,#REF!,#REF!,#REF!,#REF!,#REF!,#REF!,#REF!,#REF!,#REF!</definedName>
    <definedName name="E_ALL_KEYWORDS_TYPE_Vector_ISSR_208011805" localSheetId="0">#REF!,#REF!,#REF!,#REF!,#REF!,#REF!,#REF!,#REF!,#REF!,#REF!,#REF!</definedName>
    <definedName name="E_ALL_KEYWORDS_TYPE_Vector_ISSR_208011805">#REF!,#REF!,#REF!,#REF!,#REF!,#REF!,#REF!,#REF!,#REF!,#REF!,#REF!</definedName>
    <definedName name="E_ALL_KEYWORDS_TYPE_Vector_ISSR_208011830">#REF!,#REF!,#REF!,#REF!,#REF!,#REF!,#REF!,#REF!,#REF!,#REF!,#REF!,#REF!,#REF!</definedName>
    <definedName name="E_ALL_KORS" localSheetId="0">#REF!</definedName>
    <definedName name="E_ALL_KORS">#REF!</definedName>
    <definedName name="E_ALL_LB">#REF!</definedName>
    <definedName name="E_ALL_LULU">#REF!</definedName>
    <definedName name="E_ALL_M">#REF!</definedName>
    <definedName name="E_ALL_NKE">#REF!</definedName>
    <definedName name="E_ALL_PVH" localSheetId="0">#REF!</definedName>
    <definedName name="E_ALL_PVH">#REF!</definedName>
    <definedName name="E_ALL_RL" localSheetId="0">#REF!</definedName>
    <definedName name="E_ALL_RL">#REF!</definedName>
    <definedName name="E_ALL_ROST">#REF!</definedName>
    <definedName name="E_ALL_SECTION_KEYWORDS_EQTY_200009855_13A">#REF!</definedName>
    <definedName name="E_ALL_SECTION_KEYWORDS_EQTY_200009855_13K">#REF!</definedName>
    <definedName name="E_ALL_SECTION_KEYWORDS_ISSR_208000443_136J">#REF!,#REF!</definedName>
    <definedName name="E_ALL_SECTION_KEYWORDS_ISSR_208007601_13168">#REF!,#REF!</definedName>
    <definedName name="E_ALL_SECTION_KEYWORDS_ISSR_208007601_1316S">#REF!,#REF!</definedName>
    <definedName name="E_ALL_SECTION_KEYWORDS_ISSR_208007601_1316T">#REF!</definedName>
    <definedName name="E_ALL_SECTION_KEYWORDS_ISSR_208007601_1319">#REF!</definedName>
    <definedName name="E_ALL_SECTION_KEYWORDS_ISSR_208007601_136E">#REF!,#REF!</definedName>
    <definedName name="E_ALL_SECTION_KEYWORDS_ISSR_208007601_136J">#REF!</definedName>
    <definedName name="E_ALL_SECTION_KEYWORDS_ISSR_208007601_13V">#REF!</definedName>
    <definedName name="E_ALL_SECTION_KEYWORDS_ISSR_208008254_136J">#REF!,#REF!</definedName>
    <definedName name="E_ALL_SECTIONS_EQTY_200001089">#REF!,#REF!,#REF!,#REF!,#REF!,#REF!,#REF!,#REF!,#REF!,#REF!</definedName>
    <definedName name="E_ALL_SECTIONS_EQTY_200001343">#REF!,#REF!,#REF!,#REF!,#REF!,#REF!,#REF!,#REF!,#REF!,#REF!</definedName>
    <definedName name="E_ALL_SECTIONS_EQTY_200001473">#REF!,#REF!,#REF!,#REF!,#REF!,#REF!,#REF!,#REF!,#REF!,#REF!</definedName>
    <definedName name="E_ALL_SECTIONS_EQTY_200001764">#REF!,#REF!,#REF!,#REF!,#REF!,#REF!,#REF!,#REF!,#REF!,#REF!</definedName>
    <definedName name="E_ALL_SECTIONS_EQTY_200002237">#REF!,#REF!,#REF!,#REF!,#REF!,#REF!,#REF!,#REF!,#REF!,#REF!</definedName>
    <definedName name="E_ALL_SECTIONS_EQTY_200002364" localSheetId="0">#REF!,#REF!,#REF!,#REF!,#REF!,#REF!,#REF!,#REF!,#REF!,#REF!</definedName>
    <definedName name="E_ALL_SECTIONS_EQTY_200002364">#REF!,#REF!,#REF!,#REF!,#REF!,#REF!,#REF!,#REF!,#REF!,#REF!</definedName>
    <definedName name="E_ALL_SECTIONS_EQTY_200004515">#REF!,#REF!,#REF!,#REF!,#REF!,#REF!,#REF!,#REF!,#REF!,#REF!</definedName>
    <definedName name="E_ALL_SECTIONS_EQTY_200007724">#REF!,#REF!,#REF!,#REF!,#REF!,#REF!,#REF!,#REF!,#REF!,#REF!</definedName>
    <definedName name="E_ALL_SECTIONS_EQTY_200007875">#REF!,#REF!,#REF!,#REF!,#REF!,#REF!,#REF!,#REF!,#REF!,#REF!</definedName>
    <definedName name="E_ALL_SECTIONS_EQTY_200010773">#REF!,#REF!,#REF!,#REF!,#REF!,#REF!,#REF!,#REF!,#REF!,#REF!</definedName>
    <definedName name="E_ALL_SECTIONS_EQTY_200011489">#REF!,#REF!,#REF!,#REF!,#REF!,#REF!,#REF!,#REF!,#REF!,#REF!</definedName>
    <definedName name="E_ALL_SECTIONS_EQTY_200012699">#REF!,#REF!,#REF!,#REF!,#REF!,#REF!,#REF!,#REF!,#REF!,#REF!</definedName>
    <definedName name="E_ALL_SECTIONS_EQTY_200015048" localSheetId="0">#REF!,#REF!,#REF!,#REF!,#REF!,#REF!,#REF!,#REF!,#REF!,#REF!</definedName>
    <definedName name="E_ALL_SECTIONS_EQTY_200015048">#REF!,#REF!,#REF!,#REF!,#REF!,#REF!,#REF!,#REF!,#REF!,#REF!</definedName>
    <definedName name="E_ALL_SECTIONS_EQTY_200016154">#REF!,#REF!,#REF!,#REF!,#REF!,#REF!,#REF!,#REF!,#REF!,#REF!</definedName>
    <definedName name="E_ALL_SECTIONS_ISSR_208000322">#REF!,#REF!,#REF!,#REF!,#REF!,#REF!,#REF!,#REF!,#REF!,#REF!,#REF!,#REF!</definedName>
    <definedName name="E_ALL_SECTIONS_ISSR_208000814">#REF!,#REF!,#REF!,#REF!,#REF!,#REF!,#REF!,#REF!,#REF!,#REF!,#REF!,#REF!</definedName>
    <definedName name="E_ALL_SECTIONS_ISSR_208000856" localSheetId="0">#REF!,#REF!,#REF!,#REF!,#REF!,#REF!,#REF!,#REF!,#REF!,#REF!,#REF!,#REF!</definedName>
    <definedName name="E_ALL_SECTIONS_ISSR_208000856">#REF!,#REF!,#REF!,#REF!,#REF!,#REF!,#REF!,#REF!,#REF!,#REF!,#REF!,#REF!</definedName>
    <definedName name="E_ALL_SECTIONS_ISSR_208001278">#REF!,#REF!,#REF!,#REF!,#REF!,#REF!,#REF!,#REF!,#REF!,#REF!,#REF!</definedName>
    <definedName name="E_ALL_SECTIONS_ISSR_208002583">#REF!,#REF!,#REF!,#REF!,#REF!,#REF!,#REF!,#REF!,#REF!,#REF!,#REF!,#REF!</definedName>
    <definedName name="E_ALL_SECTIONS_ISSR_208003330">#REF!,#REF!,#REF!,#REF!,#REF!,#REF!,#REF!,#REF!,#REF!,#REF!,#REF!</definedName>
    <definedName name="E_ALL_SECTIONS_ISSR_208004185">#REF!,#REF!,#REF!,#REF!,#REF!,#REF!,#REF!,#REF!,#REF!,#REF!,#REF!,#REF!</definedName>
    <definedName name="E_ALL_SECTIONS_ISSR_208006110">#REF!,#REF!,#REF!,#REF!,#REF!,#REF!,#REF!,#REF!,#REF!,#REF!,#REF!,#REF!</definedName>
    <definedName name="E_ALL_SECTIONS_ISSR_208008775">#REF!,#REF!,#REF!,#REF!,#REF!,#REF!,#REF!,#REF!,#REF!,#REF!,#REF!</definedName>
    <definedName name="E_ALL_SECTIONS_ISSR_208009666">#REF!,#REF!,#REF!,#REF!,#REF!,#REF!,#REF!,#REF!,#REF!,#REF!,#REF!</definedName>
    <definedName name="E_ALL_SECTIONS_ISSR_208011805" localSheetId="0">#REF!,#REF!,#REF!,#REF!,#REF!,#REF!,#REF!,#REF!,#REF!,#REF!,#REF!,#REF!</definedName>
    <definedName name="E_ALL_SECTIONS_ISSR_208011805">#REF!,#REF!,#REF!,#REF!,#REF!,#REF!,#REF!,#REF!,#REF!,#REF!,#REF!,#REF!</definedName>
    <definedName name="E_ALL_SECTIONS_ISSR_208011830">#REF!,#REF!,#REF!,#REF!,#REF!,#REF!,#REF!,#REF!,#REF!,#REF!,#REF!,#REF!,#REF!,#REF!</definedName>
    <definedName name="E_ALL_SFM">#REF!</definedName>
    <definedName name="E_ALL_TFM">#REF!</definedName>
    <definedName name="E_ALL_TIF">#REF!</definedName>
    <definedName name="E_ALL_TSN">#REF!</definedName>
    <definedName name="E_ALL_TUMI" localSheetId="0">#REF!</definedName>
    <definedName name="E_ALL_TUMI">#REF!</definedName>
    <definedName name="E_ALL_UA">#REF!</definedName>
    <definedName name="E_ALL_UNFI">#REF!</definedName>
    <definedName name="E_ALL_WFM">#REF!</definedName>
    <definedName name="E_CURRENCY_EQTY_200001089_PRI">#REF!</definedName>
    <definedName name="E_CURRENCY_EQTY_200001089_PUB">#REF!</definedName>
    <definedName name="E_CURRENCY_EQTY_200001089_REP">#REF!</definedName>
    <definedName name="E_CURRENCY_EQTY_200001343_PRI">#REF!</definedName>
    <definedName name="E_CURRENCY_EQTY_200001343_PUB">#REF!</definedName>
    <definedName name="E_CURRENCY_EQTY_200001343_REP">#REF!</definedName>
    <definedName name="E_CURRENCY_EQTY_200001473_PRI">#REF!</definedName>
    <definedName name="E_CURRENCY_EQTY_200001473_PUB">#REF!</definedName>
    <definedName name="E_CURRENCY_EQTY_200001473_REP">#REF!</definedName>
    <definedName name="E_CURRENCY_EQTY_200001764_PRI">#REF!</definedName>
    <definedName name="E_CURRENCY_EQTY_200001764_PUB">#REF!</definedName>
    <definedName name="E_CURRENCY_EQTY_200001764_REP">#REF!</definedName>
    <definedName name="E_CURRENCY_EQTY_200002237_PRI">#REF!</definedName>
    <definedName name="E_CURRENCY_EQTY_200002237_PUB">#REF!</definedName>
    <definedName name="E_CURRENCY_EQTY_200002237_REP">#REF!</definedName>
    <definedName name="E_CURRENCY_EQTY_200002364_PRI" localSheetId="0">#REF!</definedName>
    <definedName name="E_CURRENCY_EQTY_200002364_PRI">#REF!</definedName>
    <definedName name="E_CURRENCY_EQTY_200002364_PUB" localSheetId="0">#REF!</definedName>
    <definedName name="E_CURRENCY_EQTY_200002364_PUB">#REF!</definedName>
    <definedName name="E_CURRENCY_EQTY_200002364_REP" localSheetId="0">#REF!</definedName>
    <definedName name="E_CURRENCY_EQTY_200002364_REP">#REF!</definedName>
    <definedName name="E_CURRENCY_EQTY_200004515_PRI">#REF!</definedName>
    <definedName name="E_CURRENCY_EQTY_200004515_PUB">#REF!</definedName>
    <definedName name="E_CURRENCY_EQTY_200004515_REP">#REF!</definedName>
    <definedName name="E_CURRENCY_EQTY_200007724_PRI">#REF!</definedName>
    <definedName name="E_CURRENCY_EQTY_200007724_PUB">#REF!</definedName>
    <definedName name="E_CURRENCY_EQTY_200007724_REP">#REF!</definedName>
    <definedName name="E_CURRENCY_EQTY_200007875_PRI">#REF!</definedName>
    <definedName name="E_CURRENCY_EQTY_200007875_PUB">#REF!</definedName>
    <definedName name="E_CURRENCY_EQTY_200007875_REP">#REF!</definedName>
    <definedName name="E_CURRENCY_EQTY_200010773_PRI">#REF!</definedName>
    <definedName name="E_CURRENCY_EQTY_200010773_PUB">#REF!</definedName>
    <definedName name="E_CURRENCY_EQTY_200010773_REP">#REF!</definedName>
    <definedName name="E_CURRENCY_EQTY_200011489_PRI">#REF!</definedName>
    <definedName name="E_CURRENCY_EQTY_200011489_PUB">#REF!</definedName>
    <definedName name="E_CURRENCY_EQTY_200011489_REP">#REF!</definedName>
    <definedName name="E_CURRENCY_EQTY_200012699_PRI">#REF!</definedName>
    <definedName name="E_CURRENCY_EQTY_200012699_PUB">#REF!</definedName>
    <definedName name="E_CURRENCY_EQTY_200012699_REP">#REF!</definedName>
    <definedName name="E_CURRENCY_EQTY_200015048_PRI" localSheetId="0">#REF!</definedName>
    <definedName name="E_CURRENCY_EQTY_200015048_PRI">#REF!</definedName>
    <definedName name="E_CURRENCY_EQTY_200015048_PUB" localSheetId="0">#REF!</definedName>
    <definedName name="E_CURRENCY_EQTY_200015048_PUB">#REF!</definedName>
    <definedName name="E_CURRENCY_EQTY_200015048_REP" localSheetId="0">#REF!</definedName>
    <definedName name="E_CURRENCY_EQTY_200015048_REP">#REF!</definedName>
    <definedName name="E_CURRENCY_EQTY_200016154_PRI">#REF!</definedName>
    <definedName name="E_CURRENCY_EQTY_200016154_PUB">#REF!</definedName>
    <definedName name="E_CURRENCY_EQTY_200016154_REP">#REF!</definedName>
    <definedName name="E_CURRENCY_ISSR_208000322_REP">#REF!</definedName>
    <definedName name="E_CURRENCY_ISSR_208000443_REP">#REF!</definedName>
    <definedName name="E_CURRENCY_ISSR_208000814_REP">#REF!</definedName>
    <definedName name="E_CURRENCY_ISSR_208000856_REP" localSheetId="0">#REF!</definedName>
    <definedName name="E_CURRENCY_ISSR_208000856_REP">#REF!</definedName>
    <definedName name="E_CURRENCY_ISSR_208001278_REP">#REF!</definedName>
    <definedName name="E_CURRENCY_ISSR_208002583_REP">#REF!</definedName>
    <definedName name="E_CURRENCY_ISSR_208003330_REP">#REF!</definedName>
    <definedName name="E_CURRENCY_ISSR_208004185_REP">#REF!</definedName>
    <definedName name="E_CURRENCY_ISSR_208006110_REP">#REF!</definedName>
    <definedName name="E_CURRENCY_ISSR_208008254_REP">#REF!</definedName>
    <definedName name="E_CURRENCY_ISSR_208008775_REP">#REF!</definedName>
    <definedName name="E_CURRENCY_ISSR_208009666_REP">#REF!</definedName>
    <definedName name="E_CURRENCY_ISSR_208011805_REP" localSheetId="0">#REF!</definedName>
    <definedName name="E_CURRENCY_ISSR_208011805_REP">#REF!</definedName>
    <definedName name="E_CURRENCY_ISSR_208011830_REP">#REF!</definedName>
    <definedName name="E_KEYWORD_ISSR_208011830_OP_AUSTRA">#REF!</definedName>
    <definedName name="E_KEYWORD_ISSR_208011830_OP_AUSTRIA">#REF!</definedName>
    <definedName name="E_KEYWORD_ISSR_208011830_OP_BEL">#REF!</definedName>
    <definedName name="E_KEYWORD_ISSR_208011830_OP_BRAZIL">#REF!</definedName>
    <definedName name="E_KEYWORD_ISSR_208011830_OP_CANADA">#REF!</definedName>
    <definedName name="E_KEYWORD_ISSR_208011830_OP_CEE">#REF!</definedName>
    <definedName name="E_KEYWORD_ISSR_208011830_OP_CHINA">#REF!</definedName>
    <definedName name="E_KEYWORD_ISSR_208011830_OP_CONS">#REF!</definedName>
    <definedName name="E_KEYWORD_ISSR_208011830_OP_DEN">#REF!</definedName>
    <definedName name="E_KEYWORD_ISSR_208011830_OP_EU_EX_UK">#REF!</definedName>
    <definedName name="E_KEYWORD_ISSR_208011830_OP_FIN">#REF!</definedName>
    <definedName name="E_KEYWORD_ISSR_208011830_OP_FRA">#REF!</definedName>
    <definedName name="E_KEYWORD_ISSR_208011830_OP_GER">#REF!</definedName>
    <definedName name="E_KEYWORD_ISSR_208011830_OP_GOV">#REF!</definedName>
    <definedName name="E_KEYWORD_ISSR_208011830_OP_GRE">#REF!</definedName>
    <definedName name="E_KEYWORD_ISSR_208011830_OP_ICE">#REF!</definedName>
    <definedName name="E_KEYWORD_ISSR_208011830_OP_IND">#REF!</definedName>
    <definedName name="E_KEYWORD_ISSR_208011830_OP_INDIA">#REF!</definedName>
    <definedName name="E_KEYWORD_ISSR_208011830_OP_IRE">#REF!</definedName>
    <definedName name="E_KEYWORD_ISSR_208011830_OP_ITA">#REF!</definedName>
    <definedName name="E_KEYWORD_ISSR_208011830_OP_JAPAN">#REF!</definedName>
    <definedName name="E_KEYWORD_ISSR_208011830_OP_ME">#REF!</definedName>
    <definedName name="E_KEYWORD_ISSR_208011830_OP_NETH">#REF!</definedName>
    <definedName name="E_KEYWORD_ISSR_208011830_OP_NOR">#REF!</definedName>
    <definedName name="E_KEYWORD_ISSR_208011830_OP_NZ">#REF!</definedName>
    <definedName name="E_KEYWORD_ISSR_208011830_OP_OTH_AEJ">#REF!</definedName>
    <definedName name="E_KEYWORD_ISSR_208011830_OP_OTH_AM">#REF!</definedName>
    <definedName name="E_KEYWORD_ISSR_208011830_OP_OTH_EMEA">#REF!</definedName>
    <definedName name="E_KEYWORD_ISSR_208011830_OP_OTHER">#REF!</definedName>
    <definedName name="E_KEYWORD_ISSR_208011830_OP_POR">#REF!</definedName>
    <definedName name="E_KEYWORD_ISSR_208011830_OP_RUSSIA">#REF!</definedName>
    <definedName name="E_KEYWORD_ISSR_208011830_OP_SK">#REF!</definedName>
    <definedName name="E_KEYWORD_ISSR_208011830_OP_SPA">#REF!</definedName>
    <definedName name="E_KEYWORD_ISSR_208011830_OP_SWE">#REF!</definedName>
    <definedName name="E_KEYWORD_ISSR_208011830_OP_SWIT">#REF!</definedName>
    <definedName name="E_KEYWORD_ISSR_208011830_OP_TOT_AM">#REF!</definedName>
    <definedName name="E_KEYWORD_ISSR_208011830_OP_TOT_ASIA">#REF!</definedName>
    <definedName name="E_KEYWORD_ISSR_208011830_OP_TOT_EMEA">#REF!</definedName>
    <definedName name="E_KEYWORD_ISSR_208011830_OP_UK">#REF!</definedName>
    <definedName name="E_KEYWORD_ISSR_208011830_OP_US">#REF!</definedName>
    <definedName name="E_KEYWORD_ISSR_208011830_SALES_AUSTRA">#REF!</definedName>
    <definedName name="E_KEYWORD_ISSR_208011830_SALES_AUSTRIA">#REF!</definedName>
    <definedName name="E_KEYWORD_ISSR_208011830_SALES_BEL">#REF!</definedName>
    <definedName name="E_KEYWORD_ISSR_208011830_SALES_DEN">#REF!</definedName>
    <definedName name="E_KEYWORD_ISSR_208011830_SALES_FIN">#REF!</definedName>
    <definedName name="E_KEYWORD_ISSR_208011830_SALES_FRA">#REF!</definedName>
    <definedName name="E_KEYWORD_ISSR_208011830_SALES_GER">#REF!</definedName>
    <definedName name="E_KEYWORD_ISSR_208011830_SALES_GRE">#REF!</definedName>
    <definedName name="E_KEYWORD_ISSR_208011830_SALES_ICE">#REF!</definedName>
    <definedName name="E_KEYWORD_ISSR_208011830_SALES_IRE">#REF!</definedName>
    <definedName name="E_KEYWORD_ISSR_208011830_SALES_ITA">#REF!</definedName>
    <definedName name="E_KEYWORD_ISSR_208011830_SALES_NETH">#REF!</definedName>
    <definedName name="E_KEYWORD_ISSR_208011830_SALES_NOR">#REF!</definedName>
    <definedName name="E_KEYWORD_ISSR_208011830_SALES_NZ">#REF!</definedName>
    <definedName name="E_KEYWORD_ISSR_208011830_SALES_POR">#REF!</definedName>
    <definedName name="E_KEYWORD_ISSR_208011830_SALES_SK">#REF!</definedName>
    <definedName name="E_KEYWORD_ISSR_208011830_SALES_SPA">#REF!</definedName>
    <definedName name="E_KEYWORD_ISSR_208011830_SALES_SWE">#REF!</definedName>
    <definedName name="E_KEYWORD_ISSR_208011830_SALES_SWIT">#REF!</definedName>
    <definedName name="E_PERIOD_2008">#REF!</definedName>
    <definedName name="E_PERIOD_2009">#REF!</definedName>
    <definedName name="e4r5" hidden="1">{#N/A,#N/A,FALSE,"Barranca"}</definedName>
    <definedName name="e4rtg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BIT95">#REF!</definedName>
    <definedName name="EBITDA">#REF!</definedName>
    <definedName name="EBITDA1">#REF!</definedName>
    <definedName name="EBITSENS">#REF!</definedName>
    <definedName name="ed" hidden="1">{#N/A,#N/A,FALSE,"FAB VENDORS";"BUD SUM",#N/A,FALSE,"BUD SUM WO TEX"}</definedName>
    <definedName name="EDU">#REF!</definedName>
    <definedName name="eduper">#REF!</definedName>
    <definedName name="eexch">#REF!</definedName>
    <definedName name="EG_DPS">#REF!</definedName>
    <definedName name="EG_Net_Profit">#REF!</definedName>
    <definedName name="EOHUnits">#N/A</definedName>
    <definedName name="EOHUnits2">#N/A</definedName>
    <definedName name="EPS">#REF!</definedName>
    <definedName name="EPS_2003">#REF!</definedName>
    <definedName name="eps1q03">#REF!</definedName>
    <definedName name="eps2q03">#REF!</definedName>
    <definedName name="eps3q03">#REF!</definedName>
    <definedName name="eps4q03">#REF!</definedName>
    <definedName name="epsfy02">#REF!</definedName>
    <definedName name="epsfy03">#REF!</definedName>
    <definedName name="EQUITY">#REF!</definedName>
    <definedName name="equity_1">#REF!</definedName>
    <definedName name="ESPN_Classic_Sports">#REF!</definedName>
    <definedName name="EV">#REF!</definedName>
    <definedName name="evo">#REF!</definedName>
    <definedName name="exc">#REF!</definedName>
    <definedName name="Exceptionals">#REF!</definedName>
    <definedName name="EXCESSCF">#REF!</definedName>
    <definedName name="exch">#REF!</definedName>
    <definedName name="EXRT">#REF!</definedName>
    <definedName name="f">#REF!</definedName>
    <definedName name="FAMERangeCNSB29">#REF!</definedName>
    <definedName name="FAMERangeCNSB30">#REF!</definedName>
    <definedName name="FAMERangeCNSB37">#REF!</definedName>
    <definedName name="FAMERangeCNSC33">#REF!</definedName>
    <definedName name="FAMERangeDJ_BALAL28">#REF!</definedName>
    <definedName name="FAMERangeDJ_BALAM28">#REF!</definedName>
    <definedName name="FAMERangeDJ_BALAN28">#REF!</definedName>
    <definedName name="FAMERangeFIVE_YEARAW89">#REF!</definedName>
    <definedName name="FAMERangeGCI_BALD62">#REF!</definedName>
    <definedName name="FAMERangeGCI_BALD63">#REF!</definedName>
    <definedName name="FAMERangeGCI_ISD88">#REF!</definedName>
    <definedName name="FAMERangeglobalA38">#REF!</definedName>
    <definedName name="FAMERangeglobalB30">#REF!</definedName>
    <definedName name="FAMERangeglobalB31">#REF!</definedName>
    <definedName name="FAMERangeglobalB33">#REF!</definedName>
    <definedName name="FAMERangeglobalB38">#REF!</definedName>
    <definedName name="FAMERangeglobalC38">#REF!</definedName>
    <definedName name="FAMERangeglobalE31">#REF!</definedName>
    <definedName name="FAMERangeHEIDTS57">#REF!</definedName>
    <definedName name="FAMERangeKRI_BALAL99">#REF!</definedName>
    <definedName name="FAMERangeKRI_BALAM99">#REF!</definedName>
    <definedName name="FAMERangeKRI_BALAN99">#REF!</definedName>
    <definedName name="FAMERangeMktCapA20">#REF!</definedName>
    <definedName name="FAMERangeMktCapA388">#REF!</definedName>
    <definedName name="FAMERangeMktCapA739">#REF!</definedName>
    <definedName name="FAMERangePRICEA10">#REF!</definedName>
    <definedName name="FAMERangePRICEA2">#REF!</definedName>
    <definedName name="FAMERangePRICEA4">#REF!</definedName>
    <definedName name="FAMERangePRICEA6">#REF!</definedName>
    <definedName name="FAMERangePRICEC10">#REF!</definedName>
    <definedName name="FAMERangePRICEC2">#REF!</definedName>
    <definedName name="FAMERangePRICEC4">#REF!</definedName>
    <definedName name="FAMERangePRICEC6">#REF!</definedName>
    <definedName name="FAMERangeqepsA5">#REF!</definedName>
    <definedName name="FAMERangeqepsA6">#REF!</definedName>
    <definedName name="FAMERangeqepsA7">#REF!</definedName>
    <definedName name="FAMERangeqepsAA7">#REF!</definedName>
    <definedName name="FAMERangeqepsAB7">#REF!</definedName>
    <definedName name="FAMERangeqepsAC7">#REF!</definedName>
    <definedName name="FAMERangeqepsAD7">#REF!</definedName>
    <definedName name="FAMERangeqepsAE7">#REF!</definedName>
    <definedName name="FAMERangeqepsAF7">#REF!</definedName>
    <definedName name="FAMERangeqepsAG7">#REF!</definedName>
    <definedName name="FAMERangeqepsAH7">#REF!</definedName>
    <definedName name="FAMERangeqepsAI7">#REF!</definedName>
    <definedName name="FAMERangeqepsAJ7">#REF!</definedName>
    <definedName name="FAMERangeqepsAK7">#REF!</definedName>
    <definedName name="FAMERangeqepsAL7">#REF!</definedName>
    <definedName name="FAMERangeqepsAM7">#REF!</definedName>
    <definedName name="FAMERangeqepsAN7">#REF!</definedName>
    <definedName name="FAMERangeqepsAO7">#REF!</definedName>
    <definedName name="FAMERangeqepsAP7">#REF!</definedName>
    <definedName name="FAMERangeqepsAQ7">#REF!</definedName>
    <definedName name="FAMERangeqepsAR7">#REF!</definedName>
    <definedName name="FAMERangeqepsAS7">#REF!</definedName>
    <definedName name="FAMERangeqepsAT7">#REF!</definedName>
    <definedName name="FAMERangeqepsC7">#REF!</definedName>
    <definedName name="FAMERangeqepsD7">#REF!</definedName>
    <definedName name="FAMERangeqepsE7">#REF!</definedName>
    <definedName name="FAMERangeqepsF7">#REF!</definedName>
    <definedName name="FAMERangeqepsG7">#REF!</definedName>
    <definedName name="FAMERangeqepsH7">#REF!</definedName>
    <definedName name="FAMERangeqepsI7">#REF!</definedName>
    <definedName name="FAMERangeqepsJ7">#REF!</definedName>
    <definedName name="FAMERangeqepsK7">#REF!</definedName>
    <definedName name="FAMERangeqepsL7">#REF!</definedName>
    <definedName name="FAMERangeqepsM7">#REF!</definedName>
    <definedName name="FAMERangeqepsN7">#REF!</definedName>
    <definedName name="FAMERangeqepsO7">#REF!</definedName>
    <definedName name="FAMERangeqepsP7">#REF!</definedName>
    <definedName name="FAMERangeqepsQ7">#REF!</definedName>
    <definedName name="FAMERangeqepsR7">#REF!</definedName>
    <definedName name="FAMERangeqepsS7">#REF!</definedName>
    <definedName name="FAMERangeqepsT7">#REF!</definedName>
    <definedName name="FAMERangeqepsU7">#REF!</definedName>
    <definedName name="FAMERangeqepsV7">#REF!</definedName>
    <definedName name="FAMERangeqepsW7">#REF!</definedName>
    <definedName name="FAMERangeqepsX7">#REF!</definedName>
    <definedName name="FAMERangeqepsY7">#REF!</definedName>
    <definedName name="FAMERangeqepsZ7">#REF!</definedName>
    <definedName name="FAMERangeSheet1B1">#REF!</definedName>
    <definedName name="FAMERangeSheet1D2">#REF!</definedName>
    <definedName name="FAMERangeSheet1F1">#REF!</definedName>
    <definedName name="FAMERangeSheet1G1">#REF!</definedName>
    <definedName name="FAMERangeSheet1J1">#REF!</definedName>
    <definedName name="FAMERangeSheet1K2">#REF!</definedName>
    <definedName name="FAMERangeSheet3B2">#REF!</definedName>
    <definedName name="FAMERangeSheet3B3">#REF!</definedName>
    <definedName name="FAMERangeSheet3C2">#REF!</definedName>
    <definedName name="FAMERangeVolumeB6">#REF!</definedName>
    <definedName name="fcf">#REF!</definedName>
    <definedName name="fdas" hidden="1">{"IS",#N/A,FALSE,"IS";"RPTIS",#N/A,FALSE,"RPTIS";"STATS",#N/A,FALSE,"STATS";"CELL",#N/A,FALSE,"CELL";"BS",#N/A,FALSE,"BS"}</definedName>
    <definedName name="FDV">#REF!</definedName>
    <definedName name="feb" hidden="1">{#N/A,#N/A,FALSE,"FAB VENDORS";"BUD SUM",#N/A,FALSE,"BUD SUM WO TEX"}</definedName>
    <definedName name="fee">#REF!</definedName>
    <definedName name="feespread">#REF!</definedName>
    <definedName name="ff">#REF!</definedName>
    <definedName name="fff" hidden="1">{"IS",#N/A,FALSE,"IS";"RPTIS",#N/A,FALSE,"RPTIS";"STATS",#N/A,FALSE,"STATS";"CELL",#N/A,FALSE,"CELL";"BS",#N/A,FALSE,"BS"}</definedName>
    <definedName name="ffpersecin">#REF!</definedName>
    <definedName name="fgmixp1">#REF!</definedName>
    <definedName name="fgmixp2">#REF!</definedName>
    <definedName name="fgmixp3">#REF!</definedName>
    <definedName name="finance">#REF!</definedName>
    <definedName name="FINCopyDirection">1</definedName>
    <definedName name="FINCriteriaRange">#REF!</definedName>
    <definedName name="FINCriteriaType">1</definedName>
    <definedName name="FINExtractRange">#REF!</definedName>
    <definedName name="FINReplicationRange">#REF!</definedName>
    <definedName name="first">#REF!</definedName>
    <definedName name="FONT">#REF!</definedName>
    <definedName name="FootnoteRange">#REF!</definedName>
    <definedName name="FOUR">#REF!</definedName>
    <definedName name="FRP">#REF!</definedName>
    <definedName name="FYEI">#REF!</definedName>
    <definedName name="g">#REF!</definedName>
    <definedName name="ga">#REF!</definedName>
    <definedName name="ghgh">#REF!</definedName>
    <definedName name="gold">#REF!</definedName>
    <definedName name="Goodwill">#REF!</definedName>
    <definedName name="GP">#REF!</definedName>
    <definedName name="Greenshoe">#REF!</definedName>
    <definedName name="growth">#REF!</definedName>
    <definedName name="gun">#REF!</definedName>
    <definedName name="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davg1y">#REF!</definedName>
    <definedName name="hdavg2y">#REF!</definedName>
    <definedName name="hdavg3y">#REF!</definedName>
    <definedName name="hdavg5y">#REF!</definedName>
    <definedName name="hdmax">#REF!</definedName>
    <definedName name="hdmax1y">#REF!</definedName>
    <definedName name="hdmax2y">#REF!</definedName>
    <definedName name="hdmax3y">#REF!</definedName>
    <definedName name="hdmax5y">#REF!</definedName>
    <definedName name="hdmin">#REF!</definedName>
    <definedName name="hdmin1y">#REF!</definedName>
    <definedName name="hdmin2y">#REF!</definedName>
    <definedName name="hdmin3y">#REF!</definedName>
    <definedName name="hdmin5y">#REF!</definedName>
    <definedName name="hdrelavg1y">#REF!</definedName>
    <definedName name="hdrelavg2y">#REF!</definedName>
    <definedName name="hdrelavg3y">#REF!</definedName>
    <definedName name="hdrelavg5y">#REF!</definedName>
    <definedName name="hdrelmax">#REF!</definedName>
    <definedName name="hdrelmax1y">#REF!</definedName>
    <definedName name="hdrelmax2y">#REF!</definedName>
    <definedName name="hdrelmax3y">#REF!</definedName>
    <definedName name="hdrelmax5y">#REF!</definedName>
    <definedName name="hdrelmin">#REF!</definedName>
    <definedName name="hdrelmin1y">#REF!</definedName>
    <definedName name="hdrelmin2y">#REF!</definedName>
    <definedName name="hdrelmin3y">#REF!</definedName>
    <definedName name="hdrelmin5y">#REF!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igh">#REF!</definedName>
    <definedName name="hus">#REF!</definedName>
    <definedName name="Income">#REF!</definedName>
    <definedName name="Income_Statement">#REF!</definedName>
    <definedName name="inctax1q03">#REF!</definedName>
    <definedName name="inctax1q04">#REF!</definedName>
    <definedName name="inctax2q03">#REF!</definedName>
    <definedName name="inctax3q03">#REF!</definedName>
    <definedName name="inctax4q03">#REF!</definedName>
    <definedName name="inctaxfy02">#REF!</definedName>
    <definedName name="Input">#REF!</definedName>
    <definedName name="input_method">#REF!</definedName>
    <definedName name="Inputs">#REF!</definedName>
    <definedName name="INT">#REF!</definedName>
    <definedName name="interest.rate">#REF!</definedName>
    <definedName name="inv">#REF!</definedName>
    <definedName name="INVEST">#REF!</definedName>
    <definedName name="io" hidden="1">{#N/A,#N/A,FALSE,"FAB VENDORS";"BUD SUM",#N/A,FALSE,"BUD SUM WO TEX"}</definedName>
    <definedName name="ipo">#REF!</definedName>
    <definedName name="ipo_valuation">#REF!</definedName>
    <definedName name="IQ_ADDIN" hidden="1">"AUTO"</definedName>
    <definedName name="is">#REF!</definedName>
    <definedName name="is_1">#REF!</definedName>
    <definedName name="iss">#REF!</definedName>
    <definedName name="iunv">#REF!</definedName>
    <definedName name="JV">#REF!</definedName>
    <definedName name="k">#REF!</definedName>
    <definedName name="Ka">#REF!</definedName>
    <definedName name="L">#REF!</definedName>
    <definedName name="L_ALL_BURL">#REF!</definedName>
    <definedName name="L_ALL_BURL_">#REF!</definedName>
    <definedName name="L_ALL_CASY">#REF!</definedName>
    <definedName name="L_ALL_COLM">#REF!</definedName>
    <definedName name="L_ALL_DLTR">#REF!</definedName>
    <definedName name="L_ALL_GPS" localSheetId="0">#REF!</definedName>
    <definedName name="L_ALL_GPS">#REF!</definedName>
    <definedName name="L_ALL_JWN">#REF!</definedName>
    <definedName name="L_ALL_KEYWORDS_TYPE_ScalarContributed_EQTY_200001089">#REF!,#REF!,#REF!,#REF!</definedName>
    <definedName name="L_ALL_KEYWORDS_TYPE_ScalarContributed_EQTY_200001343">#REF!,#REF!,#REF!,#REF!</definedName>
    <definedName name="L_ALL_KEYWORDS_TYPE_ScalarContributed_EQTY_200001473">#REF!,#REF!,#REF!,#REF!</definedName>
    <definedName name="L_ALL_KEYWORDS_TYPE_ScalarContributed_EQTY_200001764">#REF!,#REF!,#REF!,#REF!</definedName>
    <definedName name="L_ALL_KEYWORDS_TYPE_ScalarContributed_EQTY_200001864">#REF!,#REF!,#REF!,#REF!</definedName>
    <definedName name="L_ALL_KEYWORDS_TYPE_ScalarContributed_EQTY_200002237">#REF!,#REF!,#REF!,#REF!</definedName>
    <definedName name="L_ALL_KEYWORDS_TYPE_ScalarContributed_EQTY_200002364" localSheetId="0">#REF!,#REF!,#REF!,#REF!</definedName>
    <definedName name="L_ALL_KEYWORDS_TYPE_ScalarContributed_EQTY_200002364">#REF!,#REF!,#REF!,#REF!</definedName>
    <definedName name="L_ALL_KEYWORDS_TYPE_ScalarContributed_EQTY_200004515">#REF!,#REF!,#REF!,#REF!</definedName>
    <definedName name="L_ALL_KEYWORDS_TYPE_ScalarContributed_EQTY_200007724">#REF!,#REF!,#REF!,#REF!</definedName>
    <definedName name="L_ALL_KEYWORDS_TYPE_ScalarContributed_EQTY_200007875">#REF!,#REF!,#REF!,#REF!</definedName>
    <definedName name="L_ALL_KEYWORDS_TYPE_ScalarContributed_EQTY_200009855">#REF!,#REF!,#REF!,#REF!,#REF!</definedName>
    <definedName name="L_ALL_KEYWORDS_TYPE_ScalarContributed_EQTY_200010773">#REF!,#REF!,#REF!,#REF!</definedName>
    <definedName name="L_ALL_KEYWORDS_TYPE_ScalarContributed_EQTY_200011489">#REF!,#REF!,#REF!,#REF!</definedName>
    <definedName name="L_ALL_KEYWORDS_TYPE_ScalarContributed_EQTY_200012699">#REF!,#REF!,#REF!,#REF!</definedName>
    <definedName name="L_ALL_KEYWORDS_TYPE_ScalarContributed_EQTY_200015048" localSheetId="0">#REF!,#REF!,#REF!,#REF!</definedName>
    <definedName name="L_ALL_KEYWORDS_TYPE_ScalarContributed_EQTY_200015048">#REF!,#REF!,#REF!,#REF!</definedName>
    <definedName name="L_ALL_KEYWORDS_TYPE_ScalarContributed_EQTY_200016154">#REF!,#REF!,#REF!,#REF!</definedName>
    <definedName name="L_ALL_KEYWORDS_TYPE_ScalarContributed_ISSR_208000322">#REF!,#REF!</definedName>
    <definedName name="L_ALL_KEYWORDS_TYPE_ScalarContributed_ISSR_208000694">#REF!,#REF!</definedName>
    <definedName name="L_ALL_KEYWORDS_TYPE_ScalarContributed_ISSR_208000814">#REF!,#REF!</definedName>
    <definedName name="L_ALL_KEYWORDS_TYPE_ScalarContributed_ISSR_208000856" localSheetId="0">#REF!,#REF!</definedName>
    <definedName name="L_ALL_KEYWORDS_TYPE_ScalarContributed_ISSR_208000856">#REF!,#REF!</definedName>
    <definedName name="L_ALL_KEYWORDS_TYPE_Vector_EQTY_200001089">#REF!,#REF!,#REF!,#REF!,#REF!,#REF!,#REF!</definedName>
    <definedName name="L_ALL_KEYWORDS_TYPE_Vector_EQTY_200001274">#REF!,#REF!,#REF!,#REF!,#REF!,#REF!,#REF!</definedName>
    <definedName name="L_ALL_KEYWORDS_TYPE_Vector_EQTY_200001473">#REF!,#REF!,#REF!,#REF!,#REF!,#REF!,#REF!,#REF!</definedName>
    <definedName name="L_ALL_KEYWORDS_TYPE_Vector_EQTY_200001764">#REF!,#REF!,#REF!,#REF!,#REF!,#REF!,#REF!</definedName>
    <definedName name="L_ALL_KEYWORDS_TYPE_Vector_EQTY_200001864">#REF!,#REF!,#REF!,#REF!,#REF!,#REF!,#REF!</definedName>
    <definedName name="L_ALL_KEYWORDS_TYPE_Vector_EQTY_200002237" localSheetId="0">#REF!,#REF!,#REF!,#REF!,#REF!,#REF!,#REF!,#REF!</definedName>
    <definedName name="L_ALL_KEYWORDS_TYPE_Vector_EQTY_200002237">#REF!,#REF!,#REF!,#REF!,#REF!,#REF!,#REF!,#REF!</definedName>
    <definedName name="L_ALL_KEYWORDS_TYPE_Vector_EQTY_200002364" localSheetId="0">#REF!,#REF!,#REF!,#REF!,#REF!,#REF!,#REF!</definedName>
    <definedName name="L_ALL_KEYWORDS_TYPE_Vector_EQTY_200002364">#REF!,#REF!,#REF!,#REF!,#REF!,#REF!,#REF!</definedName>
    <definedName name="L_ALL_KEYWORDS_TYPE_Vector_EQTY_200004515">#REF!,#REF!,#REF!,#REF!,#REF!,#REF!,#REF!</definedName>
    <definedName name="L_ALL_KEYWORDS_TYPE_Vector_EQTY_200007724">#REF!,#REF!,#REF!,#REF!,#REF!,#REF!,#REF!</definedName>
    <definedName name="L_ALL_KEYWORDS_TYPE_Vector_EQTY_200007875">#REF!,#REF!,#REF!,#REF!,#REF!,#REF!,#REF!</definedName>
    <definedName name="L_ALL_KEYWORDS_TYPE_Vector_EQTY_200010773">#REF!,#REF!,#REF!,#REF!,#REF!,#REF!,#REF!,#REF!</definedName>
    <definedName name="L_ALL_KEYWORDS_TYPE_Vector_EQTY_200011489">#REF!,#REF!,#REF!,#REF!,#REF!,#REF!,#REF!</definedName>
    <definedName name="L_ALL_KEYWORDS_TYPE_Vector_EQTY_200012699">#REF!,#REF!,#REF!,#REF!,#REF!,#REF!,#REF!</definedName>
    <definedName name="L_ALL_KEYWORDS_TYPE_Vector_EQTY_200015048" localSheetId="0">#REF!,#REF!,#REF!,#REF!,#REF!,#REF!,#REF!</definedName>
    <definedName name="L_ALL_KEYWORDS_TYPE_Vector_EQTY_200015048">#REF!,#REF!,#REF!,#REF!,#REF!,#REF!,#REF!</definedName>
    <definedName name="L_ALL_KEYWORDS_TYPE_Vector_EQTY_200016154">#REF!,#REF!,#REF!,#REF!,#REF!,#REF!,#REF!</definedName>
    <definedName name="L_ALL_KEYWORDS_TYPE_Vector_ISSR_208000322">#REF!,#REF!,#REF!,#REF!,#REF!,#REF!,#REF!,#REF!,#REF!,#REF!,#REF!,#REF!</definedName>
    <definedName name="L_ALL_KEYWORDS_TYPE_Vector_ISSR_208000407">#REF!,#REF!,#REF!,#REF!,#REF!,#REF!,#REF!,#REF!,#REF!,#REF!,#REF!,#REF!,#REF!,#REF!,#REF!</definedName>
    <definedName name="L_ALL_KEYWORDS_TYPE_Vector_ISSR_208000694">#REF!,#REF!,#REF!,#REF!,#REF!,#REF!,#REF!,#REF!,#REF!,#REF!,#REF!,#REF!,#REF!,#REF!</definedName>
    <definedName name="L_ALL_KEYWORDS_TYPE_Vector_ISSR_208000814" localSheetId="0">#REF!,#REF!,#REF!,#REF!,#REF!,#REF!,#REF!,#REF!,#REF!,#REF!,#REF!,#REF!,#REF!,#REF!,#REF!,#REF!,#REF!</definedName>
    <definedName name="L_ALL_KEYWORDS_TYPE_Vector_ISSR_208000814">#REF!,#REF!,#REF!,#REF!,#REF!,#REF!,#REF!,#REF!,#REF!,#REF!,#REF!,#REF!,#REF!,#REF!,#REF!,#REF!,#REF!</definedName>
    <definedName name="L_ALL_KEYWORDS_TYPE_Vector_ISSR_208000856" localSheetId="0">#REF!,#REF!,#REF!,#REF!,#REF!,#REF!,#REF!,#REF!,#REF!,#REF!,#REF!,#REF!</definedName>
    <definedName name="L_ALL_KEYWORDS_TYPE_Vector_ISSR_208000856">#REF!,#REF!,#REF!,#REF!,#REF!,#REF!,#REF!,#REF!,#REF!,#REF!,#REF!,#REF!</definedName>
    <definedName name="L_ALL_KEYWORDS_TYPE_Vector_ISSR_208001278">#REF!,#REF!,#REF!,#REF!,#REF!,#REF!,#REF!,#REF!,#REF!,#REF!</definedName>
    <definedName name="L_ALL_KEYWORDS_TYPE_Vector_ISSR_208002583">#REF!,#REF!,#REF!,#REF!,#REF!,#REF!,#REF!,#REF!,#REF!,#REF!,#REF!,#REF!,#REF!,#REF!,#REF!,#REF!,#REF!</definedName>
    <definedName name="L_ALL_KEYWORDS_TYPE_Vector_ISSR_208003330">#REF!,#REF!,#REF!,#REF!,#REF!,#REF!,#REF!,#REF!,#REF!,#REF!</definedName>
    <definedName name="L_ALL_KEYWORDS_TYPE_Vector_ISSR_208004185">#REF!,#REF!,#REF!,#REF!,#REF!,#REF!,#REF!,#REF!,#REF!,#REF!,#REF!,#REF!,#REF!,#REF!,#REF!,#REF!,#REF!</definedName>
    <definedName name="L_ALL_KEYWORDS_TYPE_Vector_ISSR_208006110">#REF!,#REF!,#REF!,#REF!,#REF!,#REF!,#REF!,#REF!,#REF!,#REF!,#REF!,#REF!,#REF!,#REF!,#REF!,#REF!,#REF!</definedName>
    <definedName name="L_ALL_KEYWORDS_TYPE_Vector_ISSR_208008254">#REF!,#REF!,#REF!,#REF!,#REF!,#REF!,#REF!,#REF!,#REF!,#REF!,#REF!,#REF!,#REF!,#REF!</definedName>
    <definedName name="L_ALL_KEYWORDS_TYPE_Vector_ISSR_208008775">#REF!,#REF!,#REF!,#REF!,#REF!,#REF!,#REF!,#REF!,#REF!,#REF!</definedName>
    <definedName name="L_ALL_KEYWORDS_TYPE_Vector_ISSR_208009666">#REF!,#REF!,#REF!,#REF!,#REF!,#REF!,#REF!,#REF!,#REF!,#REF!</definedName>
    <definedName name="L_ALL_KEYWORDS_TYPE_Vector_ISSR_208011805" localSheetId="0">#REF!,#REF!,#REF!,#REF!,#REF!,#REF!,#REF!,#REF!,#REF!,#REF!,#REF!</definedName>
    <definedName name="L_ALL_KEYWORDS_TYPE_Vector_ISSR_208011805">#REF!,#REF!,#REF!,#REF!,#REF!,#REF!,#REF!,#REF!,#REF!,#REF!,#REF!</definedName>
    <definedName name="L_ALL_KEYWORDS_TYPE_Vector_ISSR_208011830">#REF!,#REF!,#REF!,#REF!,#REF!,#REF!,#REF!,#REF!,#REF!,#REF!,#REF!,#REF!,#REF!</definedName>
    <definedName name="L_ALL_KORS" localSheetId="0">#REF!</definedName>
    <definedName name="L_ALL_KORS">#REF!</definedName>
    <definedName name="L_ALL_LB">#REF!</definedName>
    <definedName name="L_ALL_LULU">#REF!</definedName>
    <definedName name="L_ALL_LULU_">#REF!</definedName>
    <definedName name="L_ALL_M">#REF!</definedName>
    <definedName name="L_ALL_NKE">#REF!</definedName>
    <definedName name="L_ALL_NKE_" localSheetId="0">#REF!</definedName>
    <definedName name="L_ALL_NKE_">#REF!</definedName>
    <definedName name="L_ALL_PVH" localSheetId="0">#REF!</definedName>
    <definedName name="L_ALL_PVH">#REF!</definedName>
    <definedName name="L_ALL_PVH_">#REF!</definedName>
    <definedName name="L_ALL_RL" localSheetId="0">#REF!</definedName>
    <definedName name="L_ALL_RL">#REF!</definedName>
    <definedName name="L_ALL_ROST">#REF!</definedName>
    <definedName name="L_ALL_SECTION_KEYWORDS_EQTY_200009855_13A">#REF!</definedName>
    <definedName name="L_ALL_SECTION_KEYWORDS_EQTY_200009855_13K">#REF!</definedName>
    <definedName name="L_ALL_SECTION_KEYWORDS_ISSR_208000407_13168">#REF!,#REF!</definedName>
    <definedName name="L_ALL_SECTION_KEYWORDS_ISSR_208000407_136E">#REF!,#REF!</definedName>
    <definedName name="L_ALL_SECTION_KEYWORDS_ISSR_208000443_136E">#REF!,#REF!</definedName>
    <definedName name="L_ALL_SECTION_KEYWORDS_ISSR_208000443_136J">#REF!,#REF!</definedName>
    <definedName name="L_ALL_SECTION_KEYWORDS_ISSR_208000814_13168">#REF!,#REF!</definedName>
    <definedName name="L_ALL_SECTION_KEYWORDS_ISSR_208000814_136E">#REF!,#REF!</definedName>
    <definedName name="L_ALL_SECTION_KEYWORDS_ISSR_208007601_1314">#REF!</definedName>
    <definedName name="L_ALL_SECTION_KEYWORDS_ISSR_208007601_13168">#REF!,#REF!</definedName>
    <definedName name="L_ALL_SECTION_KEYWORDS_ISSR_208007601_1316S">#REF!,#REF!</definedName>
    <definedName name="L_ALL_SECTION_KEYWORDS_ISSR_208007601_1316T">#REF!</definedName>
    <definedName name="L_ALL_SECTION_KEYWORDS_ISSR_208007601_1319">#REF!</definedName>
    <definedName name="L_ALL_SECTION_KEYWORDS_ISSR_208007601_131E">#REF!</definedName>
    <definedName name="L_ALL_SECTION_KEYWORDS_ISSR_208007601_136E">#REF!,#REF!</definedName>
    <definedName name="L_ALL_SECTION_KEYWORDS_ISSR_208007601_136J">#REF!</definedName>
    <definedName name="L_ALL_SECTION_KEYWORDS_ISSR_208007601_13V">#REF!,#REF!</definedName>
    <definedName name="L_ALL_SECTION_KEYWORDS_ISSR_208008254_136E">#REF!,#REF!</definedName>
    <definedName name="L_ALL_SECTION_KEYWORDS_ISSR_208008254_136J">#REF!,#REF!</definedName>
    <definedName name="L_ALL_SECTION_KEYWORDS_ISSR_208013254_13V">#REF!,#REF!</definedName>
    <definedName name="L_ALL_SECTIONS_EQTY_200001089">#REF!,#REF!,#REF!,#REF!,#REF!,#REF!,#REF!,#REF!,#REF!,#REF!</definedName>
    <definedName name="L_ALL_SECTIONS_EQTY_200001343">#REF!,#REF!,#REF!,#REF!,#REF!,#REF!,#REF!,#REF!,#REF!,#REF!</definedName>
    <definedName name="L_ALL_SECTIONS_EQTY_200001473">#REF!,#REF!,#REF!,#REF!,#REF!,#REF!,#REF!,#REF!,#REF!,#REF!</definedName>
    <definedName name="L_ALL_SECTIONS_EQTY_200001764">#REF!,#REF!,#REF!,#REF!,#REF!,#REF!,#REF!,#REF!,#REF!,#REF!</definedName>
    <definedName name="L_ALL_SECTIONS_EQTY_200002237">#REF!,#REF!,#REF!,#REF!,#REF!,#REF!,#REF!,#REF!,#REF!,#REF!</definedName>
    <definedName name="L_ALL_SECTIONS_EQTY_200002364" localSheetId="0">#REF!,#REF!,#REF!,#REF!,#REF!,#REF!,#REF!,#REF!,#REF!,#REF!</definedName>
    <definedName name="L_ALL_SECTIONS_EQTY_200002364">#REF!,#REF!,#REF!,#REF!,#REF!,#REF!,#REF!,#REF!,#REF!,#REF!</definedName>
    <definedName name="L_ALL_SECTIONS_EQTY_200004515">#REF!,#REF!,#REF!,#REF!,#REF!,#REF!,#REF!,#REF!,#REF!,#REF!</definedName>
    <definedName name="L_ALL_SECTIONS_EQTY_200007724">#REF!,#REF!,#REF!,#REF!,#REF!,#REF!,#REF!,#REF!,#REF!,#REF!</definedName>
    <definedName name="L_ALL_SECTIONS_EQTY_200007875">#REF!,#REF!,#REF!,#REF!,#REF!,#REF!,#REF!,#REF!,#REF!,#REF!</definedName>
    <definedName name="L_ALL_SECTIONS_EQTY_200010773">#REF!,#REF!,#REF!,#REF!,#REF!,#REF!,#REF!,#REF!,#REF!,#REF!</definedName>
    <definedName name="L_ALL_SECTIONS_EQTY_200011489">#REF!,#REF!,#REF!,#REF!,#REF!,#REF!,#REF!,#REF!,#REF!,#REF!</definedName>
    <definedName name="L_ALL_SECTIONS_EQTY_200012699">#REF!,#REF!,#REF!,#REF!,#REF!,#REF!,#REF!,#REF!,#REF!,#REF!</definedName>
    <definedName name="L_ALL_SECTIONS_EQTY_200015048" localSheetId="0">#REF!,#REF!,#REF!,#REF!,#REF!,#REF!,#REF!,#REF!,#REF!,#REF!</definedName>
    <definedName name="L_ALL_SECTIONS_EQTY_200015048">#REF!,#REF!,#REF!,#REF!,#REF!,#REF!,#REF!,#REF!,#REF!,#REF!</definedName>
    <definedName name="L_ALL_SECTIONS_EQTY_200016154">#REF!,#REF!,#REF!,#REF!,#REF!,#REF!,#REF!,#REF!,#REF!,#REF!</definedName>
    <definedName name="L_ALL_SECTIONS_ISSR_208000322">#REF!,#REF!,#REF!,#REF!,#REF!,#REF!,#REF!,#REF!,#REF!,#REF!,#REF!,#REF!</definedName>
    <definedName name="L_ALL_SECTIONS_ISSR_208000814">#REF!,#REF!,#REF!,#REF!,#REF!,#REF!,#REF!,#REF!,#REF!,#REF!,#REF!,#REF!</definedName>
    <definedName name="L_ALL_SECTIONS_ISSR_208000856" localSheetId="0">#REF!,#REF!,#REF!,#REF!,#REF!,#REF!,#REF!,#REF!,#REF!,#REF!,#REF!,#REF!</definedName>
    <definedName name="L_ALL_SECTIONS_ISSR_208000856">#REF!,#REF!,#REF!,#REF!,#REF!,#REF!,#REF!,#REF!,#REF!,#REF!,#REF!,#REF!</definedName>
    <definedName name="L_ALL_SECTIONS_ISSR_208001278">#REF!,#REF!,#REF!,#REF!,#REF!,#REF!,#REF!,#REF!,#REF!,#REF!,#REF!</definedName>
    <definedName name="L_ALL_SECTIONS_ISSR_208002583">#REF!,#REF!,#REF!,#REF!,#REF!,#REF!,#REF!,#REF!,#REF!,#REF!,#REF!,#REF!</definedName>
    <definedName name="L_ALL_SECTIONS_ISSR_208003330">#REF!,#REF!,#REF!,#REF!,#REF!,#REF!,#REF!,#REF!,#REF!,#REF!,#REF!</definedName>
    <definedName name="L_ALL_SECTIONS_ISSR_208004185">#REF!,#REF!,#REF!,#REF!,#REF!,#REF!,#REF!,#REF!,#REF!,#REF!,#REF!,#REF!</definedName>
    <definedName name="L_ALL_SECTIONS_ISSR_208006110">#REF!,#REF!,#REF!,#REF!,#REF!,#REF!,#REF!,#REF!,#REF!,#REF!,#REF!,#REF!</definedName>
    <definedName name="L_ALL_SECTIONS_ISSR_208008775">#REF!,#REF!,#REF!,#REF!,#REF!,#REF!,#REF!,#REF!,#REF!,#REF!,#REF!</definedName>
    <definedName name="L_ALL_SECTIONS_ISSR_208009666">#REF!,#REF!,#REF!,#REF!,#REF!,#REF!,#REF!,#REF!,#REF!,#REF!,#REF!</definedName>
    <definedName name="L_ALL_SECTIONS_ISSR_208011805" localSheetId="0">#REF!,#REF!,#REF!,#REF!,#REF!,#REF!,#REF!,#REF!,#REF!,#REF!,#REF!,#REF!</definedName>
    <definedName name="L_ALL_SECTIONS_ISSR_208011805">#REF!,#REF!,#REF!,#REF!,#REF!,#REF!,#REF!,#REF!,#REF!,#REF!,#REF!,#REF!</definedName>
    <definedName name="L_ALL_SECTIONS_ISSR_208011830">#REF!,#REF!,#REF!,#REF!,#REF!,#REF!,#REF!,#REF!,#REF!,#REF!,#REF!,#REF!,#REF!,#REF!</definedName>
    <definedName name="L_ALL_SFM">#REF!</definedName>
    <definedName name="L_ALL_TFM">#REF!</definedName>
    <definedName name="L_ALL_TIF">#REF!</definedName>
    <definedName name="L_ALL_TSN">#REF!</definedName>
    <definedName name="L_ALL_TUMI" localSheetId="0">#REF!</definedName>
    <definedName name="L_ALL_TUMI">#REF!</definedName>
    <definedName name="L_ALL_UA">#REF!</definedName>
    <definedName name="L_ALL_UNFI">#REF!</definedName>
    <definedName name="L_ALL_WFM">#REF!</definedName>
    <definedName name="L_CURRENCY_EQTY_200001089_PRI">#REF!</definedName>
    <definedName name="L_CURRENCY_EQTY_200001089_PUB">#REF!</definedName>
    <definedName name="L_CURRENCY_EQTY_200001089_REP">#REF!</definedName>
    <definedName name="L_CURRENCY_EQTY_200001343_PRI">#REF!</definedName>
    <definedName name="L_CURRENCY_EQTY_200001343_PUB">#REF!</definedName>
    <definedName name="L_CURRENCY_EQTY_200001343_REP">#REF!</definedName>
    <definedName name="L_CURRENCY_EQTY_200001473_PRI">#REF!</definedName>
    <definedName name="L_CURRENCY_EQTY_200001473_PUB">#REF!</definedName>
    <definedName name="L_CURRENCY_EQTY_200001473_REP">#REF!</definedName>
    <definedName name="L_CURRENCY_EQTY_200001764_PRI">#REF!</definedName>
    <definedName name="L_CURRENCY_EQTY_200001764_PUB">#REF!</definedName>
    <definedName name="L_CURRENCY_EQTY_200001764_REP">#REF!</definedName>
    <definedName name="L_CURRENCY_EQTY_200002237_PRI">#REF!</definedName>
    <definedName name="L_CURRENCY_EQTY_200002237_PUB">#REF!</definedName>
    <definedName name="L_CURRENCY_EQTY_200002237_REP">#REF!</definedName>
    <definedName name="L_CURRENCY_EQTY_200002364_PRI" localSheetId="0">#REF!</definedName>
    <definedName name="L_CURRENCY_EQTY_200002364_PRI">#REF!</definedName>
    <definedName name="L_CURRENCY_EQTY_200002364_PUB" localSheetId="0">#REF!</definedName>
    <definedName name="L_CURRENCY_EQTY_200002364_PUB">#REF!</definedName>
    <definedName name="L_CURRENCY_EQTY_200002364_REP" localSheetId="0">#REF!</definedName>
    <definedName name="L_CURRENCY_EQTY_200002364_REP">#REF!</definedName>
    <definedName name="L_CURRENCY_EQTY_200004515_PRI">#REF!</definedName>
    <definedName name="L_CURRENCY_EQTY_200004515_PUB">#REF!</definedName>
    <definedName name="L_CURRENCY_EQTY_200004515_REP">#REF!</definedName>
    <definedName name="L_CURRENCY_EQTY_200007724_PRI">#REF!</definedName>
    <definedName name="L_CURRENCY_EQTY_200007724_PUB">#REF!</definedName>
    <definedName name="L_CURRENCY_EQTY_200007724_REP">#REF!</definedName>
    <definedName name="L_CURRENCY_EQTY_200007875_PRI">#REF!</definedName>
    <definedName name="L_CURRENCY_EQTY_200007875_PUB">#REF!</definedName>
    <definedName name="L_CURRENCY_EQTY_200007875_REP">#REF!</definedName>
    <definedName name="L_CURRENCY_EQTY_200010773_PRI">#REF!</definedName>
    <definedName name="L_CURRENCY_EQTY_200010773_PUB">#REF!</definedName>
    <definedName name="L_CURRENCY_EQTY_200010773_REP">#REF!</definedName>
    <definedName name="L_CURRENCY_EQTY_200011489_PRI">#REF!</definedName>
    <definedName name="L_CURRENCY_EQTY_200011489_PUB">#REF!</definedName>
    <definedName name="L_CURRENCY_EQTY_200011489_REP">#REF!</definedName>
    <definedName name="L_CURRENCY_EQTY_200012699_PRI">#REF!</definedName>
    <definedName name="L_CURRENCY_EQTY_200012699_PUB">#REF!</definedName>
    <definedName name="L_CURRENCY_EQTY_200012699_REP">#REF!</definedName>
    <definedName name="L_CURRENCY_EQTY_200015048_PRI" localSheetId="0">#REF!</definedName>
    <definedName name="L_CURRENCY_EQTY_200015048_PRI">#REF!</definedName>
    <definedName name="L_CURRENCY_EQTY_200015048_PUB" localSheetId="0">#REF!</definedName>
    <definedName name="L_CURRENCY_EQTY_200015048_PUB">#REF!</definedName>
    <definedName name="L_CURRENCY_EQTY_200015048_REP" localSheetId="0">#REF!</definedName>
    <definedName name="L_CURRENCY_EQTY_200015048_REP">#REF!</definedName>
    <definedName name="L_CURRENCY_EQTY_200016154_PRI">#REF!</definedName>
    <definedName name="L_CURRENCY_EQTY_200016154_PUB">#REF!</definedName>
    <definedName name="L_CURRENCY_EQTY_200016154_REP">#REF!</definedName>
    <definedName name="L_CURRENCY_ISSR_208000322_REP">#REF!</definedName>
    <definedName name="L_CURRENCY_ISSR_208000443_REP">#REF!</definedName>
    <definedName name="L_CURRENCY_ISSR_208000814_REP">#REF!</definedName>
    <definedName name="L_CURRENCY_ISSR_208000856_REP" localSheetId="0">#REF!</definedName>
    <definedName name="L_CURRENCY_ISSR_208000856_REP">#REF!</definedName>
    <definedName name="L_CURRENCY_ISSR_208001278_REP">#REF!</definedName>
    <definedName name="L_CURRENCY_ISSR_208002583_REP">#REF!</definedName>
    <definedName name="L_CURRENCY_ISSR_208003330_REP">#REF!</definedName>
    <definedName name="L_CURRENCY_ISSR_208004185_REP">#REF!</definedName>
    <definedName name="L_CURRENCY_ISSR_208006110_REP">#REF!</definedName>
    <definedName name="L_CURRENCY_ISSR_208008254_REP">#REF!</definedName>
    <definedName name="L_CURRENCY_ISSR_208008775_REP">#REF!</definedName>
    <definedName name="L_CURRENCY_ISSR_208009666_REP">#REF!</definedName>
    <definedName name="L_CURRENCY_ISSR_208011805_REP" localSheetId="0">#REF!</definedName>
    <definedName name="L_CURRENCY_ISSR_208011805_REP">#REF!</definedName>
    <definedName name="L_CURRENCY_ISSR_208011830_REP">#REF!</definedName>
    <definedName name="L_KEYWORD_ISSR_208011830_OP_AUSTRA">#REF!</definedName>
    <definedName name="L_KEYWORD_ISSR_208011830_OP_AUSTRIA">#REF!</definedName>
    <definedName name="L_KEYWORD_ISSR_208011830_OP_BEL">#REF!</definedName>
    <definedName name="L_KEYWORD_ISSR_208011830_OP_BRAZIL">#REF!</definedName>
    <definedName name="L_KEYWORD_ISSR_208011830_OP_CANADA">#REF!</definedName>
    <definedName name="L_KEYWORD_ISSR_208011830_OP_CEE">#REF!</definedName>
    <definedName name="L_KEYWORD_ISSR_208011830_OP_CHINA">#REF!</definedName>
    <definedName name="L_KEYWORD_ISSR_208011830_OP_CONS">#REF!</definedName>
    <definedName name="L_KEYWORD_ISSR_208011830_OP_DEN">#REF!</definedName>
    <definedName name="L_KEYWORD_ISSR_208011830_OP_EU_EX_UK">#REF!</definedName>
    <definedName name="L_KEYWORD_ISSR_208011830_OP_FIN">#REF!</definedName>
    <definedName name="L_KEYWORD_ISSR_208011830_OP_FRA">#REF!</definedName>
    <definedName name="L_KEYWORD_ISSR_208011830_OP_GER">#REF!</definedName>
    <definedName name="L_KEYWORD_ISSR_208011830_OP_GOV">#REF!</definedName>
    <definedName name="L_KEYWORD_ISSR_208011830_OP_GRE">#REF!</definedName>
    <definedName name="L_KEYWORD_ISSR_208011830_OP_ICE">#REF!</definedName>
    <definedName name="L_KEYWORD_ISSR_208011830_OP_IND">#REF!</definedName>
    <definedName name="L_KEYWORD_ISSR_208011830_OP_INDIA">#REF!</definedName>
    <definedName name="L_KEYWORD_ISSR_208011830_OP_IRE">#REF!</definedName>
    <definedName name="L_KEYWORD_ISSR_208011830_OP_ITA">#REF!</definedName>
    <definedName name="L_KEYWORD_ISSR_208011830_OP_JAPAN">#REF!</definedName>
    <definedName name="L_KEYWORD_ISSR_208011830_OP_ME">#REF!</definedName>
    <definedName name="L_KEYWORD_ISSR_208011830_OP_NETH">#REF!</definedName>
    <definedName name="L_KEYWORD_ISSR_208011830_OP_NOR">#REF!</definedName>
    <definedName name="L_KEYWORD_ISSR_208011830_OP_NZ">#REF!</definedName>
    <definedName name="L_KEYWORD_ISSR_208011830_OP_OTH_AEJ">#REF!</definedName>
    <definedName name="L_KEYWORD_ISSR_208011830_OP_OTH_AM">#REF!</definedName>
    <definedName name="L_KEYWORD_ISSR_208011830_OP_OTH_EMEA">#REF!</definedName>
    <definedName name="L_KEYWORD_ISSR_208011830_OP_OTHER">#REF!</definedName>
    <definedName name="L_KEYWORD_ISSR_208011830_OP_POR">#REF!</definedName>
    <definedName name="L_KEYWORD_ISSR_208011830_OP_RUSSIA">#REF!</definedName>
    <definedName name="L_KEYWORD_ISSR_208011830_OP_SK">#REF!</definedName>
    <definedName name="L_KEYWORD_ISSR_208011830_OP_SPA">#REF!</definedName>
    <definedName name="L_KEYWORD_ISSR_208011830_OP_SWE">#REF!</definedName>
    <definedName name="L_KEYWORD_ISSR_208011830_OP_SWIT">#REF!</definedName>
    <definedName name="L_KEYWORD_ISSR_208011830_OP_TOT_AM">#REF!</definedName>
    <definedName name="L_KEYWORD_ISSR_208011830_OP_TOT_ASIA">#REF!</definedName>
    <definedName name="L_KEYWORD_ISSR_208011830_OP_TOT_EMEA">#REF!</definedName>
    <definedName name="L_KEYWORD_ISSR_208011830_OP_UK">#REF!</definedName>
    <definedName name="L_KEYWORD_ISSR_208011830_OP_US">#REF!</definedName>
    <definedName name="L_KEYWORD_ISSR_208011830_SALES_AUSTRA">#REF!</definedName>
    <definedName name="L_KEYWORD_ISSR_208011830_SALES_AUSTRIA">#REF!</definedName>
    <definedName name="L_KEYWORD_ISSR_208011830_SALES_BEL">#REF!</definedName>
    <definedName name="L_KEYWORD_ISSR_208011830_SALES_DEN">#REF!</definedName>
    <definedName name="L_KEYWORD_ISSR_208011830_SALES_FIN">#REF!</definedName>
    <definedName name="L_KEYWORD_ISSR_208011830_SALES_FRA">#REF!</definedName>
    <definedName name="L_KEYWORD_ISSR_208011830_SALES_GER">#REF!</definedName>
    <definedName name="L_KEYWORD_ISSR_208011830_SALES_GRE">#REF!</definedName>
    <definedName name="L_KEYWORD_ISSR_208011830_SALES_ICE">#REF!</definedName>
    <definedName name="L_KEYWORD_ISSR_208011830_SALES_IRE">#REF!</definedName>
    <definedName name="L_KEYWORD_ISSR_208011830_SALES_ITA">#REF!</definedName>
    <definedName name="L_KEYWORD_ISSR_208011830_SALES_NETH">#REF!</definedName>
    <definedName name="L_KEYWORD_ISSR_208011830_SALES_NOR">#REF!</definedName>
    <definedName name="L_KEYWORD_ISSR_208011830_SALES_NZ">#REF!</definedName>
    <definedName name="L_KEYWORD_ISSR_208011830_SALES_POR">#REF!</definedName>
    <definedName name="L_KEYWORD_ISSR_208011830_SALES_SK">#REF!</definedName>
    <definedName name="L_KEYWORD_ISSR_208011830_SALES_SPA">#REF!</definedName>
    <definedName name="L_KEYWORD_ISSR_208011830_SALES_SWE">#REF!</definedName>
    <definedName name="L_KEYWORD_ISSR_208011830_SALES_SWIT">#REF!</definedName>
    <definedName name="L_PERIOD_2008">#REF!</definedName>
    <definedName name="L_PERIOD_2009">#REF!</definedName>
    <definedName name="LABEL">#REF!</definedName>
    <definedName name="land">#REF!</definedName>
    <definedName name="LBO">#REF!</definedName>
    <definedName name="LBO_L">#REF!</definedName>
    <definedName name="ListOffset" hidden="1">1</definedName>
    <definedName name="lkj">#REF!</definedName>
    <definedName name="ll9y" hidden="1">{#N/A,#N/A,FALSE,"FAB VENDORS";"BUD SUM",#N/A,FALSE,"BUD SUM WO TEX"}</definedName>
    <definedName name="Low">#REF!</definedName>
    <definedName name="lowavg1y">#REF!</definedName>
    <definedName name="lowavg2y">#REF!</definedName>
    <definedName name="lowavg3y">#REF!</definedName>
    <definedName name="lowavg5y">#REF!</definedName>
    <definedName name="lowmax">#REF!</definedName>
    <definedName name="lowmax1y">#REF!</definedName>
    <definedName name="lowmax2y">#REF!</definedName>
    <definedName name="lowmax3y">#REF!</definedName>
    <definedName name="lowmax5y">#REF!</definedName>
    <definedName name="lowmin">#REF!</definedName>
    <definedName name="lowmin1y">#REF!</definedName>
    <definedName name="lowmin2y">#REF!</definedName>
    <definedName name="lowmin3y">#REF!</definedName>
    <definedName name="lowmin5y">#REF!</definedName>
    <definedName name="lowrelavg1y">#REF!</definedName>
    <definedName name="lowrelavg2y">#REF!</definedName>
    <definedName name="lowrelavg3y">#REF!</definedName>
    <definedName name="lowrelavg5y">#REF!</definedName>
    <definedName name="lowrelmax1y">#REF!</definedName>
    <definedName name="lowrelmax2y">#REF!</definedName>
    <definedName name="lowrelmax3y">#REF!</definedName>
    <definedName name="lowrelmax5y">#REF!</definedName>
    <definedName name="lowrelmin1y">#REF!</definedName>
    <definedName name="lowrelmin2y">#REF!</definedName>
    <definedName name="lowrelmin3y">#REF!</definedName>
    <definedName name="lowrelmin5y">#REF!</definedName>
    <definedName name="Ltdcomp.xls">#REF!</definedName>
    <definedName name="ly">#REF!</definedName>
    <definedName name="M_PlaceofPath" hidden="1">"\\SNYCEQT0300\HOME\DBEGLEIT\excel\FULL\FULL_VDF.XLS"</definedName>
    <definedName name="MATRIX">#REF!</definedName>
    <definedName name="mcs03g.ReqArray">{"Price","hpc","TS1/TS131","D","1/1/91","6/1/98","V"}</definedName>
    <definedName name="Merge">#REF!</definedName>
    <definedName name="mgt_case">#REF!</definedName>
    <definedName name="MinCash">#REF!</definedName>
    <definedName name="mkmk" hidden="1">{"IS",#N/A,FALSE,"IS";"RPTIS",#N/A,FALSE,"RPTIS";"STATS",#N/A,FALSE,"STATS";"CELL",#N/A,FALSE,"CELL";"BS",#N/A,FALSE,"BS"}</definedName>
    <definedName name="model_5yr">#REF!</definedName>
    <definedName name="model_type">#REF!</definedName>
    <definedName name="multiple">#REF!</definedName>
    <definedName name="Multiple.Selection">#REF!</definedName>
    <definedName name="MV">#REF!</definedName>
    <definedName name="myDialog">"dial"</definedName>
    <definedName name="name">#REF!</definedName>
    <definedName name="NCC">#REF!</definedName>
    <definedName name="NetDebtPerShare">#REF!</definedName>
    <definedName name="netint1q03">#REF!</definedName>
    <definedName name="netint1q04">#REF!</definedName>
    <definedName name="netint2q03">#REF!</definedName>
    <definedName name="netint3q03">#REF!</definedName>
    <definedName name="netint4q03">#REF!</definedName>
    <definedName name="netintfy02">#REF!</definedName>
    <definedName name="newbel" hidden="1">{"IS",#N/A,FALSE,"IS";"RPTIS",#N/A,FALSE,"RPTIS";"STATS",#N/A,FALSE,"STATS";"CELL",#N/A,FALSE,"CELL";"BS",#N/A,FALSE,"BS"}</definedName>
    <definedName name="NEWDEBT">#REF!</definedName>
    <definedName name="newprint">#REF!</definedName>
    <definedName name="NEWSPAPERS">#REF!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L">#REF!</definedName>
    <definedName name="NOPAT">#REF!</definedName>
    <definedName name="normal">#REF!</definedName>
    <definedName name="Note" hidden="1">#REF!</definedName>
    <definedName name="OFFER">#REF!</definedName>
    <definedName name="offer.value">#REF!</definedName>
    <definedName name="offering">#REF!</definedName>
    <definedName name="offpr">#REF!</definedName>
    <definedName name="omfy06">#REF!</definedName>
    <definedName name="omfy07">#REF!</definedName>
    <definedName name="ONE">#REF!</definedName>
    <definedName name="openBS">#REF!</definedName>
    <definedName name="OpExp">#REF!</definedName>
    <definedName name="opexp1q03">#REF!</definedName>
    <definedName name="opexp1q04">#REF!</definedName>
    <definedName name="opexp2q03">#REF!</definedName>
    <definedName name="opexp3q03">#REF!</definedName>
    <definedName name="opexp4q03">#REF!</definedName>
    <definedName name="opexpfy02">#REF!</definedName>
    <definedName name="OpIncome_2000">#REF!</definedName>
    <definedName name="OpIncome_2001">#REF!</definedName>
    <definedName name="OpIncome_2002">#REF!</definedName>
    <definedName name="OpIncome_2003">#REF!</definedName>
    <definedName name="oprice">#REF!</definedName>
    <definedName name="Options">#REF!</definedName>
    <definedName name="OTHER">#REF!</definedName>
    <definedName name="other_assumptions">#REF!</definedName>
    <definedName name="OtherRevenue_2000">#REF!</definedName>
    <definedName name="OWN">#REF!</definedName>
    <definedName name="PA">#REF!,#REF!</definedName>
    <definedName name="page1">#REF!</definedName>
    <definedName name="PAGE2">#REF!</definedName>
    <definedName name="PAGE3">#REF!</definedName>
    <definedName name="PAGE5">#REF!</definedName>
    <definedName name="paste1">#REF!</definedName>
    <definedName name="paste2">#REF!</definedName>
    <definedName name="paste3">#REF!</definedName>
    <definedName name="paste4">#REF!</definedName>
    <definedName name="paste5">#REF!</definedName>
    <definedName name="paste6">#REF!</definedName>
    <definedName name="paste7">#REF!</definedName>
    <definedName name="paste8">#REF!</definedName>
    <definedName name="Payout_ratio_on_underlying">#REF!</definedName>
    <definedName name="PBV">#REF!</definedName>
    <definedName name="PCT_L">#REF!</definedName>
    <definedName name="PE">#REF!</definedName>
    <definedName name="percenttotal">#REF!</definedName>
    <definedName name="period">#REF!</definedName>
    <definedName name="Pfd">#REF!</definedName>
    <definedName name="PFPerenchPercent">#REF!</definedName>
    <definedName name="PFPRICE">#REF!</definedName>
    <definedName name="PFPRICE2">#REF!</definedName>
    <definedName name="PFPublicPer.">#REF!</definedName>
    <definedName name="PFVenePercent">#REF!</definedName>
    <definedName name="pik">#REF!</definedName>
    <definedName name="pj" hidden="1">{#N/A,#N/A,FALSE,"Sheet1";#N/A,#N/A,FALSE,"Sheet2";#N/A,#N/A,FALSE,"Sheet3";#N/A,#N/A,FALSE,"Sheet4";#N/A,#N/A,FALSE,"Sheet5";#N/A,#N/A,FALSE,"Sheet6"}</definedName>
    <definedName name="PLAN">#REF!</definedName>
    <definedName name="PLAN2">#REF!</definedName>
    <definedName name="PLCHG">#REF!</definedName>
    <definedName name="Pooling">#REF!</definedName>
    <definedName name="Post_tax_stock_gains_losses">#REF!</definedName>
    <definedName name="ppp" hidden="1">{#N/A,#N/A,FALSE,"FAB VENDORS";"BUD SUM",#N/A,FALSE,"BUD SUM WO TEX"}</definedName>
    <definedName name="premium">#REF!</definedName>
    <definedName name="PresentationNormalA4">#REF!</definedName>
    <definedName name="Price">#REF!</definedName>
    <definedName name="PRIME">#REF!</definedName>
    <definedName name="Print">#REF!,#REF!,#REF!,#REF!,#REF!,#REF!,#REF!</definedName>
    <definedName name="_xlnm.Print_Area" localSheetId="1">'2. Consolidated'!$B$1:$CA$378</definedName>
    <definedName name="_xlnm.Print_Area">#REF!</definedName>
    <definedName name="Print_Area_MI">#REF!</definedName>
    <definedName name="print_page">#REF!</definedName>
    <definedName name="PrintAPL">#REF!</definedName>
    <definedName name="PrintLTP">#REF!</definedName>
    <definedName name="prod">#REF!</definedName>
    <definedName name="prod1">#REF!</definedName>
    <definedName name="prod2">#REF!</definedName>
    <definedName name="prod3">#REF!</definedName>
    <definedName name="PSG">#REF!</definedName>
    <definedName name="PurchasePremium">#REF!</definedName>
    <definedName name="PVVA">#REF!</definedName>
    <definedName name="pwcclass">#REF!</definedName>
    <definedName name="PYR">"JANUARY 3, 1998"</definedName>
    <definedName name="q2we" hidden="1">{#N/A,#N/A,FALSE,"SUMMARY";#N/A,#N/A,FALSE,"DETAIL";#N/A,#N/A,FALSE,"VARIANCE"}</definedName>
    <definedName name="qstore">#REF!</definedName>
    <definedName name="quart">#REF!</definedName>
    <definedName name="quartbspt">#REF!</definedName>
    <definedName name="QUARTERS">#REF!</definedName>
    <definedName name="quartplbspt">#REF!</definedName>
    <definedName name="quartstore">#REF!</definedName>
    <definedName name="quartstorinv">#REF!</definedName>
    <definedName name="qwe" hidden="1">{#N/A,#N/A,FALSE,"FAB VENDORS";"BUD SUM",#N/A,FALSE,"BUD SUM WO TEX"}</definedName>
    <definedName name="qwer" hidden="1">{#N/A,#N/A,FALSE,"Barranca"}</definedName>
    <definedName name="ra">#REF!</definedName>
    <definedName name="RANGENAMES">#REF!</definedName>
    <definedName name="RAT_A">#REF!</definedName>
    <definedName name="RAT_T">#REF!</definedName>
    <definedName name="rate">#REF!</definedName>
    <definedName name="Ratings">#REF!</definedName>
    <definedName name="RATIOS">#REF!</definedName>
    <definedName name="RATIOS_L">#REF!</definedName>
    <definedName name="ratios_ll">#REF!</definedName>
    <definedName name="recap_dividend">"Picture 69"</definedName>
    <definedName name="recap_repurchase">"Picture 64"</definedName>
    <definedName name="recession">#REF!</definedName>
    <definedName name="redo">#REF!</definedName>
    <definedName name="reduce">#REF!</definedName>
    <definedName name="refinance">#REF!</definedName>
    <definedName name="reg">#REF!</definedName>
    <definedName name="Reported_net_income">#REF!</definedName>
    <definedName name="ReportGroup" hidden="1">0</definedName>
    <definedName name="retpric3">#REF!</definedName>
    <definedName name="RETURN">#REF!</definedName>
    <definedName name="returns">#REF!</definedName>
    <definedName name="returns_l">#REF!</definedName>
    <definedName name="Rev">#REF!</definedName>
    <definedName name="rev_area">#REF!</definedName>
    <definedName name="revenue">#REF!</definedName>
    <definedName name="revolver">#REF!</definedName>
    <definedName name="rnc">#REF!</definedName>
    <definedName name="ROC">#REF!</definedName>
    <definedName name="ROE">#REF!</definedName>
    <definedName name="roic">#REF!</definedName>
    <definedName name="roic2">#REF!</definedName>
    <definedName name="s">{#N/A,#N/A,FALSE,"Title";#N/A,#N/A,FALSE,"Inputs";#N/A,#N/A,FALSE,"Impact";#N/A,#N/A,FALSE,"Sources &amp; Uses";#N/A,#N/A,FALSE,"Capitalization Impact";#N/A,#N/A,FALSE,"NEWCO Projections"}</definedName>
    <definedName name="sales">#REF!</definedName>
    <definedName name="Sales_2002">#REF!</definedName>
    <definedName name="SalesUnits">#N/A</definedName>
    <definedName name="SalesUnits2">#N/A</definedName>
    <definedName name="scai">#REF!</definedName>
    <definedName name="SCEN">#REF!</definedName>
    <definedName name="Scenario">#REF!</definedName>
    <definedName name="SCENE2">#REF!</definedName>
    <definedName name="Schroder_exceptionals">#REF!</definedName>
    <definedName name="scli">#REF!</definedName>
    <definedName name="scsa">#REF!</definedName>
    <definedName name="sdf" hidden="1">{#N/A,#N/A,FALSE,"FAB VENDORS";"BUD SUM",#N/A,FALSE,"BUD SUM WO TEX"}</definedName>
    <definedName name="sdfsdfsdf">#REF!</definedName>
    <definedName name="sdfzsfdsdf">#REF!</definedName>
    <definedName name="second">#REF!</definedName>
    <definedName name="selectInput">#REF!</definedName>
    <definedName name="SelectLBO">#REF!</definedName>
    <definedName name="SelectRECAP">#REF!</definedName>
    <definedName name="SellThruPERCENTUnits">#N/A</definedName>
    <definedName name="sencount" hidden="1">1</definedName>
    <definedName name="SENS">#REF!</definedName>
    <definedName name="sensitivity">#REF!</definedName>
    <definedName name="sensitivity2">#REF!</definedName>
    <definedName name="serase">#REF!</definedName>
    <definedName name="Set">" "</definedName>
    <definedName name="sharectfy07">#REF!</definedName>
    <definedName name="shares">#REF!</definedName>
    <definedName name="shares1">#REF!</definedName>
    <definedName name="SIX">#REF!</definedName>
    <definedName name="size">#REF!</definedName>
    <definedName name="sls1q03">#REF!</definedName>
    <definedName name="sls1q04">#REF!</definedName>
    <definedName name="sls1q92">#REF!</definedName>
    <definedName name="sls1q93">#REF!</definedName>
    <definedName name="sls1q94">#REF!</definedName>
    <definedName name="sls1q95">#REF!</definedName>
    <definedName name="sls1q96">#REF!</definedName>
    <definedName name="sls2q03">#REF!</definedName>
    <definedName name="sls2q92">#REF!</definedName>
    <definedName name="sls2q93">#REF!</definedName>
    <definedName name="sls2q94">#REF!</definedName>
    <definedName name="sls2q95">#REF!</definedName>
    <definedName name="sls2q96">#REF!</definedName>
    <definedName name="sls3q03">#REF!</definedName>
    <definedName name="sls3q92">#REF!</definedName>
    <definedName name="sls3q93">#REF!</definedName>
    <definedName name="sls3q94">#REF!</definedName>
    <definedName name="sls3q95">#REF!</definedName>
    <definedName name="sls3q96">#REF!</definedName>
    <definedName name="sls4q03">#REF!</definedName>
    <definedName name="sls4q92">#REF!</definedName>
    <definedName name="sls4q93">#REF!</definedName>
    <definedName name="sls4q94">#REF!</definedName>
    <definedName name="sls4q95">#REF!</definedName>
    <definedName name="sls4q96">#REF!</definedName>
    <definedName name="slsfy02">#REF!</definedName>
    <definedName name="slsfy06">#REF!</definedName>
    <definedName name="slsfy07">#REF!</definedName>
    <definedName name="slspersqft94">#REF!</definedName>
    <definedName name="smallcolumns">#REF!,#REF!,#REF!,#REF!,#REF!,#REF!,#REF!,#REF!,#REF!,#REF!,#REF!,#REF!</definedName>
    <definedName name="Soap_Net">#REF!</definedName>
    <definedName name="Sources_Uses">#REF!</definedName>
    <definedName name="sp">#REF!</definedName>
    <definedName name="spot">#REF!</definedName>
    <definedName name="SPWS_WBID">"18BBEB6F-98AC-4905-A8E2-44DE6BB148D7"</definedName>
    <definedName name="spxavg1y">#REF!</definedName>
    <definedName name="spxavg2y">#REF!</definedName>
    <definedName name="spxavg3y">#REF!</definedName>
    <definedName name="spxavg5y">#REF!</definedName>
    <definedName name="spxmax">#REF!</definedName>
    <definedName name="spxmax1y">#REF!</definedName>
    <definedName name="spxmax2y">#REF!</definedName>
    <definedName name="spxmax3y">#REF!</definedName>
    <definedName name="spxmax5y">#REF!</definedName>
    <definedName name="spxmin">#REF!</definedName>
    <definedName name="spxmin1y">#REF!</definedName>
    <definedName name="spxmin2y">#REF!</definedName>
    <definedName name="spxmin3y">#REF!</definedName>
    <definedName name="spxmin5y">#REF!</definedName>
    <definedName name="STOCK">#REF!</definedName>
    <definedName name="STOCK1">#REF!</definedName>
    <definedName name="Stockpricesensitivity">#REF!</definedName>
    <definedName name="strcls1q03">#REF!</definedName>
    <definedName name="strcls1q04">#REF!</definedName>
    <definedName name="strcls2q03">#REF!</definedName>
    <definedName name="strcls3q03">#REF!</definedName>
    <definedName name="strcls4q03">#REF!</definedName>
    <definedName name="strclsfy02">#REF!</definedName>
    <definedName name="street">#REF!</definedName>
    <definedName name="structure">#REF!</definedName>
    <definedName name="SUB">#REF!</definedName>
    <definedName name="SUMM">#REF!</definedName>
    <definedName name="SUMM1">#REF!</definedName>
    <definedName name="SummRatios">#REF!</definedName>
    <definedName name="Supplement">#REF!</definedName>
    <definedName name="Switch">#REF!</definedName>
    <definedName name="syn">#REF!</definedName>
    <definedName name="t">#REF!</definedName>
    <definedName name="T1997B">#REF!</definedName>
    <definedName name="T1998B">#REF!</definedName>
    <definedName name="T1999B">#REF!</definedName>
    <definedName name="T2000B">#REF!</definedName>
    <definedName name="T2001B">#REF!</definedName>
    <definedName name="T2002B">#REF!</definedName>
    <definedName name="T2003B">#REF!</definedName>
    <definedName name="T2004B">#REF!</definedName>
    <definedName name="Table">#REF!</definedName>
    <definedName name="tabs">#REF!</definedName>
    <definedName name="Tandy">#REF!</definedName>
    <definedName name="tar">#REF!</definedName>
    <definedName name="targ">#REF!</definedName>
    <definedName name="TARG1">#REF!</definedName>
    <definedName name="targ2">#REF!</definedName>
    <definedName name="targcase">#REF!</definedName>
    <definedName name="target">#REF!</definedName>
    <definedName name="targetfull">#REF!</definedName>
    <definedName name="TARGticker">#REF!</definedName>
    <definedName name="Tax">#REF!</definedName>
    <definedName name="TAXCALC">#REF!</definedName>
    <definedName name="taxratefy06">#REF!</definedName>
    <definedName name="taxratefy07">#REF!</definedName>
    <definedName name="TeleCurrentPerc">#REF!</definedName>
    <definedName name="TeleDeltPerc">#REF!</definedName>
    <definedName name="TeleviPurchasePrem">#REF!</definedName>
    <definedName name="temp">#REF!</definedName>
    <definedName name="template">#REF!</definedName>
    <definedName name="term">#REF!</definedName>
    <definedName name="test" hidden="1">{"IS",#N/A,FALSE,"IS";"RPTIS",#N/A,FALSE,"RPTIS";"STATS",#N/A,FALSE,"STATS";"CELL",#N/A,FALSE,"CELL";"BS",#N/A,FALSE,"BS"}</definedName>
    <definedName name="TestAdd">"Test RefersTo1"</definedName>
    <definedName name="The_Disney_Channel">#REF!</definedName>
    <definedName name="third">#REF!</definedName>
    <definedName name="THREE">#REF!</definedName>
    <definedName name="Ticker">#REF!</definedName>
    <definedName name="Tigr_Exhibit0c0896f4_9a53_40cb_b6fb_533e8ea0dc69" hidden="1">#REF!</definedName>
    <definedName name="Tigr_Exhibit0f2235e4_8478_48d1_9bd5_35ee818fcd6a" hidden="1">'2. Consolidated'!$B$128:$BZ$209</definedName>
    <definedName name="Tigr_Exhibit0f4a4690_c25c_4015_ae2d_c7f638daaa99" hidden="1">#REF!</definedName>
    <definedName name="Tigr_Exhibit15b09c50_ef9a_4c8d_a9d1_7757fa372fca" hidden="1">#REF!</definedName>
    <definedName name="Tigr_Exhibit17f32a84_d20e_43c5_992b_f8753e1f9f67" hidden="1">#REF!</definedName>
    <definedName name="Tigr_Exhibit181de0d9_2c21_4379_abcf_3c9c2bf6e706" hidden="1">#REF!</definedName>
    <definedName name="Tigr_Exhibit198ef01b_87b3_42b9_9f65_230352dbbbb4" hidden="1">#REF!</definedName>
    <definedName name="Tigr_Exhibit1b752cc4_14c8_4051_ba2c_529b5a1ebf38" hidden="1">#REF!</definedName>
    <definedName name="Tigr_Exhibit1b793e2d_99a5_4fb1_bb2f_2756e6192786" hidden="1">#REF!</definedName>
    <definedName name="Tigr_Exhibit1be60383_804b_4f98_b6ec_679cb02a1d93" hidden="1">#REF!</definedName>
    <definedName name="Tigr_Exhibit1bf1a913_a7c0_4a0a_b3ff_4f1f0a606749" hidden="1">#REF!</definedName>
    <definedName name="Tigr_Exhibit1e2ddf8b_2faf_4ab3_bc6b_a82fb709d98e" hidden="1">#REF!</definedName>
    <definedName name="Tigr_Exhibit1e512daa_3a01_455b_be82_a11747713ea1" hidden="1">'4. Summary Model'!$B$5:$AZ$72</definedName>
    <definedName name="Tigr_Exhibit228c6a6c_3fe3_4b06_976f_415adbbd88fd" hidden="1">#REF!</definedName>
    <definedName name="Tigr_Exhibit24e7c369_dad6_4028_a3f7_518aac04a638" hidden="1">#REF!</definedName>
    <definedName name="Tigr_Exhibit27182acf_0104_4c3a_a01d_820a1b2dc1d1" hidden="1">#REF!</definedName>
    <definedName name="Tigr_Exhibit2723d69a_9b81_496d_9b2f_08d21287d704" hidden="1">#REF!</definedName>
    <definedName name="Tigr_Exhibit2f02a9e0_33d7_4ee4_ba3e_c76ade4c0887" hidden="1">#REF!</definedName>
    <definedName name="Tigr_Exhibit35e14910_a513_4e5b_b89e_9ced7a7a3df0" hidden="1">'2. Consolidated'!$B$5:$CA$83</definedName>
    <definedName name="Tigr_Exhibit37e128b2_3cbb_49f2_9a10_a3e668772346" hidden="1">#REF!</definedName>
    <definedName name="Tigr_Exhibit3d8ed998_edf2_456d_9942_1fe062e7105a" hidden="1">#REF!</definedName>
    <definedName name="Tigr_Exhibit3ec63d97_38ed_4af5_b022_f12c9d77c1a2" hidden="1">#REF!</definedName>
    <definedName name="Tigr_Exhibit416cc185_100f_455c_aeba_d8f7408dbdef" hidden="1">#REF!</definedName>
    <definedName name="Tigr_Exhibit422df4b5_6c08_4213_9fbe_949fae82fcf3" hidden="1">#REF!</definedName>
    <definedName name="Tigr_Exhibit427117c5_febb_4add_b33d_d14f0e0a0613" hidden="1">#REF!</definedName>
    <definedName name="Tigr_Exhibit43f17311_a5dc_4b92_b03f_26b9845672fb" hidden="1">#REF!</definedName>
    <definedName name="Tigr_Exhibit451a9fec_b017_4df7_9088_2328f6603ca7" hidden="1">#REF!</definedName>
    <definedName name="Tigr_Exhibit46db2397_bcf4_46d2_b30a_809f516ba340" hidden="1">#REF!</definedName>
    <definedName name="Tigr_Exhibit477918bb_7818_44d7_a4a9_d9416ab39e4e" hidden="1">#REF!</definedName>
    <definedName name="Tigr_Exhibit487d4754_ca21_482c_a196_96fedae4410e" hidden="1">'4. Summary Model'!$B$5:$BE$72</definedName>
    <definedName name="Tigr_Exhibit4b488756_b708_4435_9754_207563c0f0e5" hidden="1">#REF!</definedName>
    <definedName name="Tigr_Exhibit4e019cfb_8b1e_4e1c_a7a1_1b73f32917f7" hidden="1">#REF!</definedName>
    <definedName name="Tigr_Exhibit5bfd0347_6e86_4411_9724_caa4bdb451a8" hidden="1">#REF!</definedName>
    <definedName name="Tigr_Exhibit61935467_b357_4c8f_af28_126e19b2f21a" hidden="1">#REF!</definedName>
    <definedName name="Tigr_Exhibit661c3a6f_f6c4_4eb2_8c54_d685c1a0449a" hidden="1">#REF!</definedName>
    <definedName name="Tigr_Exhibit6625c0a6_8499_448d_91b0_22722ef0e8fd" hidden="1">#REF!</definedName>
    <definedName name="Tigr_Exhibit67435de0_b7f7_4cb9_ab75_a20d9b0ec302" hidden="1">#REF!</definedName>
    <definedName name="Tigr_Exhibit68cbbf78_6972_4c08_b61a_c1a5add0271a" hidden="1">#REF!</definedName>
    <definedName name="Tigr_Exhibit695bc8e7_94db_4948_bfc0_481dde8f6b92" hidden="1">#REF!</definedName>
    <definedName name="Tigr_Exhibit6f80e8cc_acd5_4b5c_8534_544f6fcf2e34" hidden="1">#REF!</definedName>
    <definedName name="Tigr_Exhibit7073ffdd_7ca1_4920_9c79_440e08ed4474" hidden="1">#REF!</definedName>
    <definedName name="Tigr_Exhibit718f90f0_260c_4354_8f0a_a1e1b1e048d8" hidden="1">#REF!</definedName>
    <definedName name="Tigr_Exhibit726cf166_d321_49e3_bf84_2c52c03f4238" hidden="1">#REF!</definedName>
    <definedName name="Tigr_Exhibit7c70a5d9_0446_41e7_81d6_e6e67d8fc5a3" hidden="1">#REF!</definedName>
    <definedName name="Tigr_Exhibit7cda1176_6bfd_48f4_849a_0b4d54072139" hidden="1">#REF!</definedName>
    <definedName name="Tigr_Exhibit7cef1f16_b309_4bac_96ae_f95792b051e7" hidden="1">#REF!</definedName>
    <definedName name="Tigr_Exhibit7e2eb8fe_fbb2_476a_8ebe_66b75da9c2d6" hidden="1">#REF!</definedName>
    <definedName name="Tigr_Exhibit850fed87_b368_482f_8aae_fafc9a3efd35" hidden="1">#REF!</definedName>
    <definedName name="Tigr_Exhibit87a08cd5_200d_4218_9c4b_772a5e32828e" hidden="1">#REF!</definedName>
    <definedName name="Tigr_Exhibit888d5066_563c_4e66_8584_882bf710c18b" hidden="1">#REF!</definedName>
    <definedName name="Tigr_Exhibit890df048_f08d_491b_8ebd_094343030264" hidden="1">#REF!</definedName>
    <definedName name="Tigr_Exhibit8ab11a09_e46d_4c00_9392_d3fdd13ec0c3" hidden="1">#REF!</definedName>
    <definedName name="Tigr_Exhibit91d8bdf2_f0ef_4d66_af73_f9f5a24d99da" hidden="1">'2. Consolidated'!$B$5:$CA$83</definedName>
    <definedName name="Tigr_Exhibit9bea677d_1bba_4a58_9090_3aa56a6b14d3" hidden="1">#REF!</definedName>
    <definedName name="Tigr_Exhibit9cfdc23d_3c98_4f43_b017_8859e530ebae" hidden="1">#REF!</definedName>
    <definedName name="Tigr_Exhibit9e1ec0d1_7f94_4e45_b698_71e48bbe1a5f" hidden="1">#REF!</definedName>
    <definedName name="Tigr_Exhibita0d99204_994b_4f76_8a80_24784bfdb2c4" hidden="1">#REF!</definedName>
    <definedName name="Tigr_Exhibita1cb43ea_c3d5_4c6e_bd5d_73c56cc81050" hidden="1">#REF!</definedName>
    <definedName name="Tigr_Exhibita497b36f_b92c_4abd_9a67_073234a44e11" hidden="1">'2. Consolidated'!$B$128:$BU$209</definedName>
    <definedName name="Tigr_Exhibita7aad741_47d7_48e0_907d_d010d5d993b0" hidden="1">#REF!</definedName>
    <definedName name="Tigr_Exhibitaa3c33dd_f583_40af_bc41_69971c5b596b" hidden="1">#REF!</definedName>
    <definedName name="Tigr_Exhibitad17f10a_c26d_4efe_b3cc_76910271cdca" hidden="1">#REF!</definedName>
    <definedName name="Tigr_Exhibitb178dedf_372a_4ac9_b032_dcf7ffd2a76c" hidden="1">#REF!</definedName>
    <definedName name="Tigr_Exhibitb3b85ea6_5cc2_4abe_93f1_e08b64aabd43" hidden="1">#REF!</definedName>
    <definedName name="Tigr_Exhibitb6a84d10_0604_4fe0_9d5c_e925880b700b" hidden="1">#REF!</definedName>
    <definedName name="Tigr_Exhibitba86a650_fa62_427c_a14e_983835844d1c" hidden="1">#REF!</definedName>
    <definedName name="Tigr_Exhibitbe44a536_1df3_4238_b182_72f09ce823b9" hidden="1">#REF!</definedName>
    <definedName name="Tigr_Exhibitc181d175_6311_42c8_8112_9a8363ed8641" hidden="1">#REF!</definedName>
    <definedName name="Tigr_Exhibitc2c327a5_19a0_49ae_b88e_5fd1ee01d375" hidden="1">#REF!</definedName>
    <definedName name="Tigr_Exhibitc6dfc9e3_6978_4e77_94b5_9355a82b421f" hidden="1">#REF!</definedName>
    <definedName name="Tigr_Exhibitc8ab5ead_5cf5_441e_b63e_b64b8bbfc147" hidden="1">#REF!</definedName>
    <definedName name="Tigr_Exhibitcacf2004_ba40_4007_b21b_fb8e6a10a893" hidden="1">#REF!</definedName>
    <definedName name="Tigr_Exhibitcae4e076_a137_473b_94c7_f816d317a49e" hidden="1">#REF!</definedName>
    <definedName name="Tigr_Exhibitcaff20d0_a99c_4574_8ac7_256c5b01f711" hidden="1">#REF!</definedName>
    <definedName name="Tigr_Exhibitcc5b0cc8_9022_4847_818e_abfb7a50f272" hidden="1">#REF!</definedName>
    <definedName name="Tigr_Exhibitd010127e_15df_45c6_bdf4_ff029102baf5" hidden="1">#REF!</definedName>
    <definedName name="Tigr_Exhibitd1549456_732f_41ea_bed1_9cd4e375cc7c" hidden="1">#REF!</definedName>
    <definedName name="Tigr_Exhibitd34b323b_017e_4fa4_b50b_ddcad073f2f8" hidden="1">#REF!</definedName>
    <definedName name="Tigr_Exhibitd397a84e_cf9b_48df_a48c_ae84860f76ef" hidden="1">#REF!</definedName>
    <definedName name="Tigr_Exhibitd950966f_8ef1_4dfe_8159_0a34e8037bc9" hidden="1">#REF!</definedName>
    <definedName name="Tigr_Exhibitdda57520_51b5_4007_82bf_37fe67c5baf9" hidden="1">#REF!</definedName>
    <definedName name="Tigr_Exhibite0880141_5c81_49c9_9317_3b198573e8cf" hidden="1">#REF!</definedName>
    <definedName name="Tigr_Exhibite0bc27e3_af54_4029_a0e1_97032809cfdc" hidden="1">#REF!</definedName>
    <definedName name="Tigr_Exhibite0d24ecd_06db_4d8a_8fc6_0bf6c3a60d70" hidden="1">#REF!</definedName>
    <definedName name="Tigr_Exhibite1449d40_4190_4452_acd8_065b5b101e05" hidden="1">#REF!</definedName>
    <definedName name="Tigr_Exhibite261c7f3_d92d_49e3_99fa_aa41bcb046ac" hidden="1">#REF!</definedName>
    <definedName name="Tigr_Exhibite700fd71_b6fe_4ba0_ab97_04bd7d5ecd0f" hidden="1">#REF!</definedName>
    <definedName name="Tigr_Exhibiteb042849_4b75_4f2a_b77f_a772bf075576" hidden="1">#REF!</definedName>
    <definedName name="Tigr_Exhibitebc3f243_7d65_49e8_8ee3_19a5846ae5dc" hidden="1">#REF!</definedName>
    <definedName name="Tigr_Exhibitec3d00d0_cb2c_4cac_9421_ec479f197109" hidden="1">#REF!</definedName>
    <definedName name="Tigr_Exhibitee3fe557_02a0_4eeb_8fdb_a483bceed270" hidden="1">#REF!</definedName>
    <definedName name="Tigr_Exhibitf19f3934_5aba_4225_89fc_e1c681f308df" hidden="1">#REF!</definedName>
    <definedName name="Tigr_Exhibitf5076b95_7c44_4d3e_9930_2e6f684bd403" hidden="1">#REF!</definedName>
    <definedName name="Tigr_Exhibitf835f2e9_ba41_4ada_abc8_543c17f6af5b" hidden="1">#REF!</definedName>
    <definedName name="Tigr_Exhibitfba43679_0930_43da_9bba_2ab06ffff26b" hidden="1">#REF!</definedName>
    <definedName name="Tigr_Exhibitfd32e8a8_5e7d_419b_b04b_3636d25ec5e1" hidden="1">#REF!</definedName>
    <definedName name="TITLE">#REF!</definedName>
    <definedName name="TOC">#REF!</definedName>
    <definedName name="Toggle2">#REF!</definedName>
    <definedName name="Toon_Disney">#REF!</definedName>
    <definedName name="Total_Debt">#REF!</definedName>
    <definedName name="TotalOnOrderUnits">#N/A</definedName>
    <definedName name="TotalPurchasePrice">#REF!</definedName>
    <definedName name="TRANS">#REF!</definedName>
    <definedName name="trans_l">#REF!</definedName>
    <definedName name="Transaction">#REF!</definedName>
    <definedName name="trate">#REF!</definedName>
    <definedName name="trend">#REF!</definedName>
    <definedName name="TrgPrc">#REF!</definedName>
    <definedName name="tt" hidden="1">{#N/A,#N/A,FALSE,"Sheet1";#N/A,#N/A,FALSE,"Sheet2";#N/A,#N/A,FALSE,"Sheet3";#N/A,#N/A,FALSE,"Sheet4";#N/A,#N/A,FALSE,"Sheet5";#N/A,#N/A,FALSE,"Sheet6"}</definedName>
    <definedName name="ttt" hidden="1">{#N/A,#N/A,FALSE,"Sheet1";#N/A,#N/A,FALSE,"Sheet2";#N/A,#N/A,FALSE,"Sheet3";#N/A,#N/A,FALSE,"Sheet4";#N/A,#N/A,FALSE,"Sheet5";#N/A,#N/A,FALSE,"Sheet6"}</definedName>
    <definedName name="tttt" hidden="1">{#N/A,#N/A,FALSE,"Sheet8";#N/A,#N/A,FALSE,"Sheet7"}</definedName>
    <definedName name="ttttt" hidden="1">{#N/A,#N/A,FALSE,"Sheet1";#N/A,#N/A,FALSE,"Sheet2";#N/A,#N/A,FALSE,"Sheet3";#N/A,#N/A,FALSE,"Sheet4";#N/A,#N/A,FALSE,"Sheet5";#N/A,#N/A,FALSE,"Sheet6"}</definedName>
    <definedName name="tv">#REF!</definedName>
    <definedName name="TWO">#REF!</definedName>
    <definedName name="TWX_Annual_Segments_Change">#REF!</definedName>
    <definedName name="ty">#REF!</definedName>
    <definedName name="ud06r.GroupNums">#REF!</definedName>
    <definedName name="UniqueRange_0">#REF!</definedName>
    <definedName name="UniqueRange_1">#REF!</definedName>
    <definedName name="UniqueRange_10">#REF!</definedName>
    <definedName name="UniqueRange_11">#REF!</definedName>
    <definedName name="UniqueRange_12">#REF!</definedName>
    <definedName name="UniqueRange_13">#REF!</definedName>
    <definedName name="UniqueRange_14">#REF!</definedName>
    <definedName name="UniqueRange_15">#REF!</definedName>
    <definedName name="UniqueRange_16">#REF!</definedName>
    <definedName name="UniqueRange_17">#REF!</definedName>
    <definedName name="UniqueRange_18">#REF!</definedName>
    <definedName name="UniqueRange_19">#REF!</definedName>
    <definedName name="UniqueRange_2">#REF!</definedName>
    <definedName name="UniqueRange_20">#REF!</definedName>
    <definedName name="UniqueRange_21">#REF!</definedName>
    <definedName name="UniqueRange_22">#REF!</definedName>
    <definedName name="UniqueRange_23">#REF!</definedName>
    <definedName name="UniqueRange_24">#REF!</definedName>
    <definedName name="UniqueRange_25">#REF!</definedName>
    <definedName name="UniqueRange_26">#REF!</definedName>
    <definedName name="UniqueRange_27">#REF!</definedName>
    <definedName name="UniqueRange_28">#REF!</definedName>
    <definedName name="UniqueRange_29">#REF!</definedName>
    <definedName name="UniqueRange_3">#REF!</definedName>
    <definedName name="UniqueRange_30">#REF!</definedName>
    <definedName name="UniqueRange_31">#REF!</definedName>
    <definedName name="UniqueRange_32">#REF!</definedName>
    <definedName name="UniqueRange_33">#REF!</definedName>
    <definedName name="UniqueRange_34">#REF!</definedName>
    <definedName name="UniqueRange_35">#REF!</definedName>
    <definedName name="UniqueRange_36">#REF!</definedName>
    <definedName name="UniqueRange_37">#REF!</definedName>
    <definedName name="UniqueRange_38">#REF!</definedName>
    <definedName name="UniqueRange_39">#REF!</definedName>
    <definedName name="UniqueRange_4">#REF!</definedName>
    <definedName name="UniqueRange_40">#REF!</definedName>
    <definedName name="UniqueRange_41">#REF!</definedName>
    <definedName name="UniqueRange_42">#REF!</definedName>
    <definedName name="UniqueRange_43">#REF!</definedName>
    <definedName name="UniqueRange_44">#REF!</definedName>
    <definedName name="UniqueRange_45">#REF!</definedName>
    <definedName name="UniqueRange_46">#REF!</definedName>
    <definedName name="UniqueRange_5">#REF!</definedName>
    <definedName name="UniqueRange_6">#REF!</definedName>
    <definedName name="UniqueRange_61">#REF!</definedName>
    <definedName name="UniqueRange_7">#REF!</definedName>
    <definedName name="UniqueRange_8">#REF!</definedName>
    <definedName name="UniqueRange_9">#REF!</definedName>
    <definedName name="upside">#REF!</definedName>
    <definedName name="uuuu" hidden="1">{#N/A,#N/A,FALSE,"Barranca"}</definedName>
    <definedName name="uuuuu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UvnEquityMktVal">#REF!</definedName>
    <definedName name="V_ALL_BURL">#REF!</definedName>
    <definedName name="V_ALL_BURL_">#REF!</definedName>
    <definedName name="V_ALL_CASY">#REF!</definedName>
    <definedName name="V_ALL_COLM">#REF!</definedName>
    <definedName name="V_ALL_DLTR">#REF!</definedName>
    <definedName name="V_ALL_GPS" localSheetId="0">#REF!</definedName>
    <definedName name="V_ALL_GPS">#REF!</definedName>
    <definedName name="V_ALL_JWN">#REF!</definedName>
    <definedName name="V_ALL_KEYWORDS_TYPE_ScalarContributed_EQTY_200001089">#REF!,#REF!,#REF!,#REF!</definedName>
    <definedName name="V_ALL_KEYWORDS_TYPE_ScalarContributed_EQTY_200001343">#REF!,#REF!,#REF!,#REF!</definedName>
    <definedName name="V_ALL_KEYWORDS_TYPE_ScalarContributed_EQTY_200001473">#REF!,#REF!,#REF!,#REF!</definedName>
    <definedName name="V_ALL_KEYWORDS_TYPE_ScalarContributed_EQTY_200001764">#REF!,#REF!,#REF!,#REF!</definedName>
    <definedName name="V_ALL_KEYWORDS_TYPE_ScalarContributed_EQTY_200001864">#REF!,#REF!,#REF!,#REF!</definedName>
    <definedName name="V_ALL_KEYWORDS_TYPE_ScalarContributed_EQTY_200002237">#REF!,#REF!,#REF!,#REF!</definedName>
    <definedName name="V_ALL_KEYWORDS_TYPE_ScalarContributed_EQTY_200002364" localSheetId="0">#REF!,#REF!,#REF!,#REF!</definedName>
    <definedName name="V_ALL_KEYWORDS_TYPE_ScalarContributed_EQTY_200002364">#REF!,#REF!,#REF!,#REF!</definedName>
    <definedName name="V_ALL_KEYWORDS_TYPE_ScalarContributed_EQTY_200004515">#REF!,#REF!,#REF!,#REF!</definedName>
    <definedName name="V_ALL_KEYWORDS_TYPE_ScalarContributed_EQTY_200007724">#REF!,#REF!,#REF!,#REF!</definedName>
    <definedName name="V_ALL_KEYWORDS_TYPE_ScalarContributed_EQTY_200007875">#REF!,#REF!,#REF!,#REF!</definedName>
    <definedName name="V_ALL_KEYWORDS_TYPE_ScalarContributed_EQTY_200009855">#REF!,#REF!,#REF!,#REF!,#REF!</definedName>
    <definedName name="V_ALL_KEYWORDS_TYPE_ScalarContributed_EQTY_200010773">#REF!,#REF!,#REF!,#REF!</definedName>
    <definedName name="V_ALL_KEYWORDS_TYPE_ScalarContributed_EQTY_200011489">#REF!,#REF!,#REF!,#REF!</definedName>
    <definedName name="V_ALL_KEYWORDS_TYPE_ScalarContributed_EQTY_200012699">#REF!,#REF!,#REF!,#REF!</definedName>
    <definedName name="V_ALL_KEYWORDS_TYPE_ScalarContributed_EQTY_200015048" localSheetId="0">#REF!,#REF!,#REF!,#REF!</definedName>
    <definedName name="V_ALL_KEYWORDS_TYPE_ScalarContributed_EQTY_200015048">#REF!,#REF!,#REF!,#REF!</definedName>
    <definedName name="V_ALL_KEYWORDS_TYPE_ScalarContributed_EQTY_200016154">#REF!,#REF!,#REF!,#REF!</definedName>
    <definedName name="V_ALL_KEYWORDS_TYPE_ScalarContributed_ISSR_208000322">#REF!,#REF!</definedName>
    <definedName name="V_ALL_KEYWORDS_TYPE_ScalarContributed_ISSR_208000694">#REF!,#REF!</definedName>
    <definedName name="V_ALL_KEYWORDS_TYPE_ScalarContributed_ISSR_208000814">#REF!,#REF!</definedName>
    <definedName name="V_ALL_KEYWORDS_TYPE_ScalarContributed_ISSR_208000856" localSheetId="0">#REF!,#REF!</definedName>
    <definedName name="V_ALL_KEYWORDS_TYPE_ScalarContributed_ISSR_208000856">#REF!,#REF!</definedName>
    <definedName name="V_ALL_KEYWORDS_TYPE_Vector_EQTY_200001089">#REF!,#REF!,#REF!,#REF!,#REF!,#REF!,#REF!</definedName>
    <definedName name="V_ALL_KEYWORDS_TYPE_Vector_EQTY_200001274">#REF!,#REF!,#REF!,#REF!,#REF!,#REF!,#REF!</definedName>
    <definedName name="V_ALL_KEYWORDS_TYPE_Vector_EQTY_200001473">#REF!,#REF!,#REF!,#REF!,#REF!,#REF!,#REF!,#REF!</definedName>
    <definedName name="V_ALL_KEYWORDS_TYPE_Vector_EQTY_200001764">#REF!,#REF!,#REF!,#REF!,#REF!,#REF!,#REF!</definedName>
    <definedName name="V_ALL_KEYWORDS_TYPE_Vector_EQTY_200001864">#REF!,#REF!,#REF!,#REF!,#REF!,#REF!,#REF!</definedName>
    <definedName name="V_ALL_KEYWORDS_TYPE_Vector_EQTY_200002237" localSheetId="0">#REF!,#REF!,#REF!,#REF!,#REF!,#REF!,#REF!,#REF!</definedName>
    <definedName name="V_ALL_KEYWORDS_TYPE_Vector_EQTY_200002237">#REF!,#REF!,#REF!,#REF!,#REF!,#REF!,#REF!,#REF!</definedName>
    <definedName name="V_ALL_KEYWORDS_TYPE_Vector_EQTY_200002364" localSheetId="0">#REF!,#REF!,#REF!,#REF!,#REF!,#REF!,#REF!</definedName>
    <definedName name="V_ALL_KEYWORDS_TYPE_Vector_EQTY_200002364">#REF!,#REF!,#REF!,#REF!,#REF!,#REF!,#REF!</definedName>
    <definedName name="V_ALL_KEYWORDS_TYPE_Vector_EQTY_200004515">#REF!,#REF!,#REF!,#REF!,#REF!,#REF!,#REF!</definedName>
    <definedName name="V_ALL_KEYWORDS_TYPE_Vector_EQTY_200007724">#REF!,#REF!,#REF!,#REF!,#REF!,#REF!,#REF!</definedName>
    <definedName name="V_ALL_KEYWORDS_TYPE_Vector_EQTY_200007875">#REF!,#REF!,#REF!,#REF!,#REF!,#REF!,#REF!</definedName>
    <definedName name="V_ALL_KEYWORDS_TYPE_Vector_EQTY_200010773">#REF!,#REF!,#REF!,#REF!,#REF!,#REF!,#REF!,#REF!</definedName>
    <definedName name="V_ALL_KEYWORDS_TYPE_Vector_EQTY_200011489">#REF!,#REF!,#REF!,#REF!,#REF!,#REF!,#REF!</definedName>
    <definedName name="V_ALL_KEYWORDS_TYPE_Vector_EQTY_200012699">#REF!,#REF!,#REF!,#REF!,#REF!,#REF!,#REF!</definedName>
    <definedName name="V_ALL_KEYWORDS_TYPE_Vector_EQTY_200015048" localSheetId="0">#REF!,#REF!,#REF!,#REF!,#REF!,#REF!,#REF!</definedName>
    <definedName name="V_ALL_KEYWORDS_TYPE_Vector_EQTY_200015048">#REF!,#REF!,#REF!,#REF!,#REF!,#REF!,#REF!</definedName>
    <definedName name="V_ALL_KEYWORDS_TYPE_Vector_EQTY_200016154">#REF!,#REF!,#REF!,#REF!,#REF!,#REF!,#REF!</definedName>
    <definedName name="V_ALL_KEYWORDS_TYPE_Vector_ISSR_208000322">#REF!,#REF!,#REF!,#REF!,#REF!,#REF!,#REF!,#REF!,#REF!,#REF!,#REF!,#REF!</definedName>
    <definedName name="V_ALL_KEYWORDS_TYPE_Vector_ISSR_208000407">#REF!,#REF!,#REF!,#REF!,#REF!,#REF!,#REF!,#REF!,#REF!,#REF!,#REF!,#REF!,#REF!,#REF!,#REF!</definedName>
    <definedName name="V_ALL_KEYWORDS_TYPE_Vector_ISSR_208000694">#REF!,#REF!,#REF!,#REF!,#REF!,#REF!,#REF!,#REF!,#REF!,#REF!,#REF!,#REF!,#REF!,#REF!</definedName>
    <definedName name="V_ALL_KEYWORDS_TYPE_Vector_ISSR_208000814" localSheetId="0">#REF!,#REF!,#REF!,#REF!,#REF!,#REF!,#REF!,#REF!,#REF!,#REF!,#REF!,#REF!,#REF!,#REF!,#REF!,#REF!,#REF!</definedName>
    <definedName name="V_ALL_KEYWORDS_TYPE_Vector_ISSR_208000814">#REF!,#REF!,#REF!,#REF!,#REF!,#REF!,#REF!,#REF!,#REF!,#REF!,#REF!,#REF!,#REF!,#REF!,#REF!,#REF!,#REF!</definedName>
    <definedName name="V_ALL_KEYWORDS_TYPE_Vector_ISSR_208000856" localSheetId="0">#REF!,#REF!,#REF!,#REF!,#REF!,#REF!,#REF!,#REF!,#REF!,#REF!,#REF!,#REF!</definedName>
    <definedName name="V_ALL_KEYWORDS_TYPE_Vector_ISSR_208000856">#REF!,#REF!,#REF!,#REF!,#REF!,#REF!,#REF!,#REF!,#REF!,#REF!,#REF!,#REF!</definedName>
    <definedName name="V_ALL_KEYWORDS_TYPE_Vector_ISSR_208001278">#REF!,#REF!,#REF!,#REF!,#REF!,#REF!,#REF!,#REF!,#REF!,#REF!</definedName>
    <definedName name="V_ALL_KEYWORDS_TYPE_Vector_ISSR_208002583">#REF!,#REF!,#REF!,#REF!,#REF!,#REF!,#REF!,#REF!,#REF!,#REF!,#REF!,#REF!,#REF!,#REF!,#REF!,#REF!,#REF!</definedName>
    <definedName name="V_ALL_KEYWORDS_TYPE_Vector_ISSR_208003330">#REF!,#REF!,#REF!,#REF!,#REF!,#REF!,#REF!,#REF!,#REF!,#REF!</definedName>
    <definedName name="V_ALL_KEYWORDS_TYPE_Vector_ISSR_208004185">#REF!,#REF!,#REF!,#REF!,#REF!,#REF!,#REF!,#REF!,#REF!,#REF!,#REF!,#REF!,#REF!,#REF!,#REF!,#REF!,#REF!</definedName>
    <definedName name="V_ALL_KEYWORDS_TYPE_Vector_ISSR_208006110">#REF!,#REF!,#REF!,#REF!,#REF!,#REF!,#REF!,#REF!,#REF!,#REF!,#REF!,#REF!,#REF!,#REF!,#REF!,#REF!,#REF!</definedName>
    <definedName name="V_ALL_KEYWORDS_TYPE_Vector_ISSR_208008254">#REF!,#REF!,#REF!,#REF!,#REF!,#REF!,#REF!,#REF!,#REF!,#REF!,#REF!,#REF!,#REF!,#REF!</definedName>
    <definedName name="V_ALL_KEYWORDS_TYPE_Vector_ISSR_208008775">#REF!,#REF!,#REF!,#REF!,#REF!,#REF!,#REF!,#REF!,#REF!,#REF!</definedName>
    <definedName name="V_ALL_KEYWORDS_TYPE_Vector_ISSR_208009666">#REF!,#REF!,#REF!,#REF!,#REF!,#REF!,#REF!,#REF!,#REF!,#REF!</definedName>
    <definedName name="V_ALL_KEYWORDS_TYPE_Vector_ISSR_208011805" localSheetId="0">#REF!,#REF!,#REF!,#REF!,#REF!,#REF!,#REF!,#REF!,#REF!,#REF!,#REF!</definedName>
    <definedName name="V_ALL_KEYWORDS_TYPE_Vector_ISSR_208011805">#REF!,#REF!,#REF!,#REF!,#REF!,#REF!,#REF!,#REF!,#REF!,#REF!,#REF!</definedName>
    <definedName name="V_ALL_KEYWORDS_TYPE_Vector_ISSR_208011830">#REF!,#REF!,#REF!,#REF!,#REF!,#REF!,#REF!,#REF!,#REF!,#REF!,#REF!,#REF!,#REF!</definedName>
    <definedName name="V_ALL_KORS" localSheetId="0">#REF!</definedName>
    <definedName name="V_ALL_KORS">#REF!</definedName>
    <definedName name="V_ALL_LB">#REF!</definedName>
    <definedName name="V_ALL_LULU">#REF!</definedName>
    <definedName name="V_ALL_LULU_">#REF!</definedName>
    <definedName name="V_ALL_M">#REF!</definedName>
    <definedName name="V_ALL_NKE">#REF!</definedName>
    <definedName name="V_ALL_NKE_" localSheetId="0">#REF!</definedName>
    <definedName name="V_ALL_NKE_">#REF!</definedName>
    <definedName name="V_ALL_PVH" localSheetId="0">#REF!</definedName>
    <definedName name="V_ALL_PVH">#REF!</definedName>
    <definedName name="V_ALL_PVH_">#REF!</definedName>
    <definedName name="V_ALL_RL" localSheetId="0">#REF!</definedName>
    <definedName name="V_ALL_RL">#REF!</definedName>
    <definedName name="V_ALL_ROST">#REF!</definedName>
    <definedName name="V_ALL_SECTION_KEYWORDS_EQTY_200009855_13A">#REF!</definedName>
    <definedName name="V_ALL_SECTION_KEYWORDS_EQTY_200009855_13K">#REF!</definedName>
    <definedName name="V_ALL_SECTION_KEYWORDS_ISSR_208000407_13168">#REF!,#REF!</definedName>
    <definedName name="V_ALL_SECTION_KEYWORDS_ISSR_208000407_136E">#REF!,#REF!</definedName>
    <definedName name="V_ALL_SECTION_KEYWORDS_ISSR_208000443_136E">#REF!,#REF!</definedName>
    <definedName name="V_ALL_SECTION_KEYWORDS_ISSR_208000443_136J">#REF!,#REF!</definedName>
    <definedName name="V_ALL_SECTION_KEYWORDS_ISSR_208000814_13168">#REF!,#REF!</definedName>
    <definedName name="V_ALL_SECTION_KEYWORDS_ISSR_208000814_136E">#REF!,#REF!</definedName>
    <definedName name="V_ALL_SECTION_KEYWORDS_ISSR_208007601_1314">#REF!</definedName>
    <definedName name="V_ALL_SECTION_KEYWORDS_ISSR_208007601_13168">#REF!,#REF!</definedName>
    <definedName name="V_ALL_SECTION_KEYWORDS_ISSR_208007601_1316S">#REF!,#REF!</definedName>
    <definedName name="V_ALL_SECTION_KEYWORDS_ISSR_208007601_1316T">#REF!</definedName>
    <definedName name="V_ALL_SECTION_KEYWORDS_ISSR_208007601_1319">#REF!</definedName>
    <definedName name="V_ALL_SECTION_KEYWORDS_ISSR_208007601_131E">#REF!</definedName>
    <definedName name="V_ALL_SECTION_KEYWORDS_ISSR_208007601_136E">#REF!,#REF!</definedName>
    <definedName name="V_ALL_SECTION_KEYWORDS_ISSR_208007601_136J">#REF!</definedName>
    <definedName name="V_ALL_SECTION_KEYWORDS_ISSR_208007601_13V">#REF!,#REF!</definedName>
    <definedName name="V_ALL_SECTION_KEYWORDS_ISSR_208008254_136E">#REF!,#REF!</definedName>
    <definedName name="V_ALL_SECTION_KEYWORDS_ISSR_208008254_136J">#REF!,#REF!</definedName>
    <definedName name="V_ALL_SECTION_KEYWORDS_ISSR_208013254_13V">#REF!,#REF!</definedName>
    <definedName name="V_ALL_SECTIONS_EQTY_200001089">#REF!,#REF!,#REF!,#REF!,#REF!,#REF!,#REF!,#REF!,#REF!,#REF!</definedName>
    <definedName name="V_ALL_SECTIONS_EQTY_200001343">#REF!,#REF!,#REF!,#REF!,#REF!,#REF!,#REF!,#REF!,#REF!,#REF!</definedName>
    <definedName name="V_ALL_SECTIONS_EQTY_200001473">#REF!,#REF!,#REF!,#REF!,#REF!,#REF!,#REF!,#REF!,#REF!,#REF!</definedName>
    <definedName name="V_ALL_SECTIONS_EQTY_200001764">#REF!,#REF!,#REF!,#REF!,#REF!,#REF!,#REF!,#REF!,#REF!,#REF!</definedName>
    <definedName name="V_ALL_SECTIONS_EQTY_200002237">#REF!,#REF!,#REF!,#REF!,#REF!,#REF!,#REF!,#REF!,#REF!,#REF!</definedName>
    <definedName name="V_ALL_SECTIONS_EQTY_200002364" localSheetId="0">#REF!,#REF!,#REF!,#REF!,#REF!,#REF!,#REF!,#REF!,#REF!,#REF!</definedName>
    <definedName name="V_ALL_SECTIONS_EQTY_200002364">#REF!,#REF!,#REF!,#REF!,#REF!,#REF!,#REF!,#REF!,#REF!,#REF!</definedName>
    <definedName name="V_ALL_SECTIONS_EQTY_200004515">#REF!,#REF!,#REF!,#REF!,#REF!,#REF!,#REF!,#REF!,#REF!,#REF!</definedName>
    <definedName name="V_ALL_SECTIONS_EQTY_200007724">#REF!,#REF!,#REF!,#REF!,#REF!,#REF!,#REF!,#REF!,#REF!,#REF!</definedName>
    <definedName name="V_ALL_SECTIONS_EQTY_200007875">#REF!,#REF!,#REF!,#REF!,#REF!,#REF!,#REF!,#REF!,#REF!,#REF!</definedName>
    <definedName name="V_ALL_SECTIONS_EQTY_200010773">#REF!,#REF!,#REF!,#REF!,#REF!,#REF!,#REF!,#REF!,#REF!,#REF!</definedName>
    <definedName name="V_ALL_SECTIONS_EQTY_200011489">#REF!,#REF!,#REF!,#REF!,#REF!,#REF!,#REF!,#REF!,#REF!,#REF!</definedName>
    <definedName name="V_ALL_SECTIONS_EQTY_200012699">#REF!,#REF!,#REF!,#REF!,#REF!,#REF!,#REF!,#REF!,#REF!,#REF!</definedName>
    <definedName name="V_ALL_SECTIONS_EQTY_200015048" localSheetId="0">#REF!,#REF!,#REF!,#REF!,#REF!,#REF!,#REF!,#REF!,#REF!,#REF!</definedName>
    <definedName name="V_ALL_SECTIONS_EQTY_200015048">#REF!,#REF!,#REF!,#REF!,#REF!,#REF!,#REF!,#REF!,#REF!,#REF!</definedName>
    <definedName name="V_ALL_SECTIONS_EQTY_200016154">#REF!,#REF!,#REF!,#REF!,#REF!,#REF!,#REF!,#REF!,#REF!,#REF!</definedName>
    <definedName name="V_ALL_SECTIONS_ISSR_208000322">#REF!,#REF!,#REF!,#REF!,#REF!,#REF!,#REF!,#REF!,#REF!,#REF!,#REF!,#REF!</definedName>
    <definedName name="V_ALL_SECTIONS_ISSR_208000814">#REF!,#REF!,#REF!,#REF!,#REF!,#REF!,#REF!,#REF!,#REF!,#REF!,#REF!,#REF!</definedName>
    <definedName name="V_ALL_SECTIONS_ISSR_208000856" localSheetId="0">#REF!,#REF!,#REF!,#REF!,#REF!,#REF!,#REF!,#REF!,#REF!,#REF!,#REF!,#REF!</definedName>
    <definedName name="V_ALL_SECTIONS_ISSR_208000856">#REF!,#REF!,#REF!,#REF!,#REF!,#REF!,#REF!,#REF!,#REF!,#REF!,#REF!,#REF!</definedName>
    <definedName name="V_ALL_SECTIONS_ISSR_208001278">#REF!,#REF!,#REF!,#REF!,#REF!,#REF!,#REF!,#REF!,#REF!,#REF!,#REF!</definedName>
    <definedName name="V_ALL_SECTIONS_ISSR_208002583">#REF!,#REF!,#REF!,#REF!,#REF!,#REF!,#REF!,#REF!,#REF!,#REF!,#REF!,#REF!</definedName>
    <definedName name="V_ALL_SECTIONS_ISSR_208003330">#REF!,#REF!,#REF!,#REF!,#REF!,#REF!,#REF!,#REF!,#REF!,#REF!,#REF!</definedName>
    <definedName name="V_ALL_SECTIONS_ISSR_208004185">#REF!,#REF!,#REF!,#REF!,#REF!,#REF!,#REF!,#REF!,#REF!,#REF!,#REF!,#REF!</definedName>
    <definedName name="V_ALL_SECTIONS_ISSR_208006110">#REF!,#REF!,#REF!,#REF!,#REF!,#REF!,#REF!,#REF!,#REF!,#REF!,#REF!,#REF!</definedName>
    <definedName name="V_ALL_SECTIONS_ISSR_208008775">#REF!,#REF!,#REF!,#REF!,#REF!,#REF!,#REF!,#REF!,#REF!,#REF!,#REF!</definedName>
    <definedName name="V_ALL_SECTIONS_ISSR_208009666">#REF!,#REF!,#REF!,#REF!,#REF!,#REF!,#REF!,#REF!,#REF!,#REF!,#REF!</definedName>
    <definedName name="V_ALL_SECTIONS_ISSR_208011805" localSheetId="0">#REF!,#REF!,#REF!,#REF!,#REF!,#REF!,#REF!,#REF!,#REF!,#REF!,#REF!,#REF!</definedName>
    <definedName name="V_ALL_SECTIONS_ISSR_208011805">#REF!,#REF!,#REF!,#REF!,#REF!,#REF!,#REF!,#REF!,#REF!,#REF!,#REF!,#REF!</definedName>
    <definedName name="V_ALL_SECTIONS_ISSR_208011830">#REF!,#REF!,#REF!,#REF!,#REF!,#REF!,#REF!,#REF!,#REF!,#REF!,#REF!,#REF!,#REF!,#REF!</definedName>
    <definedName name="V_ALL_SFM">#REF!</definedName>
    <definedName name="V_ALL_TFM">#REF!</definedName>
    <definedName name="V_ALL_TIF">#REF!</definedName>
    <definedName name="V_ALL_TSN">#REF!</definedName>
    <definedName name="V_ALL_TUMI" localSheetId="0">#REF!</definedName>
    <definedName name="V_ALL_TUMI">#REF!</definedName>
    <definedName name="V_ALL_UA">#REF!</definedName>
    <definedName name="V_ALL_UNFI">#REF!</definedName>
    <definedName name="V_ALL_WFM">#REF!</definedName>
    <definedName name="V_KEYWORD_ISSR_208011830_OP_AUSTRA">#REF!</definedName>
    <definedName name="V_KEYWORD_ISSR_208011830_OP_AUSTRIA">#REF!</definedName>
    <definedName name="V_KEYWORD_ISSR_208011830_OP_BEL">#REF!</definedName>
    <definedName name="V_KEYWORD_ISSR_208011830_OP_BRAZIL">#REF!</definedName>
    <definedName name="V_KEYWORD_ISSR_208011830_OP_CANADA">#REF!</definedName>
    <definedName name="V_KEYWORD_ISSR_208011830_OP_CEE">#REF!</definedName>
    <definedName name="V_KEYWORD_ISSR_208011830_OP_CHINA">#REF!</definedName>
    <definedName name="V_KEYWORD_ISSR_208011830_OP_CONS">#REF!</definedName>
    <definedName name="V_KEYWORD_ISSR_208011830_OP_DEN">#REF!</definedName>
    <definedName name="V_KEYWORD_ISSR_208011830_OP_EU_EX_UK">#REF!</definedName>
    <definedName name="V_KEYWORD_ISSR_208011830_OP_FIN">#REF!</definedName>
    <definedName name="V_KEYWORD_ISSR_208011830_OP_FRA">#REF!</definedName>
    <definedName name="V_KEYWORD_ISSR_208011830_OP_GER">#REF!</definedName>
    <definedName name="V_KEYWORD_ISSR_208011830_OP_GOV">#REF!</definedName>
    <definedName name="V_KEYWORD_ISSR_208011830_OP_GRE">#REF!</definedName>
    <definedName name="V_KEYWORD_ISSR_208011830_OP_ICE">#REF!</definedName>
    <definedName name="V_KEYWORD_ISSR_208011830_OP_IND">#REF!</definedName>
    <definedName name="V_KEYWORD_ISSR_208011830_OP_INDIA">#REF!</definedName>
    <definedName name="V_KEYWORD_ISSR_208011830_OP_IRE">#REF!</definedName>
    <definedName name="V_KEYWORD_ISSR_208011830_OP_ITA">#REF!</definedName>
    <definedName name="V_KEYWORD_ISSR_208011830_OP_JAPAN">#REF!</definedName>
    <definedName name="V_KEYWORD_ISSR_208011830_OP_ME">#REF!</definedName>
    <definedName name="V_KEYWORD_ISSR_208011830_OP_NETH">#REF!</definedName>
    <definedName name="V_KEYWORD_ISSR_208011830_OP_NOR">#REF!</definedName>
    <definedName name="V_KEYWORD_ISSR_208011830_OP_NZ">#REF!</definedName>
    <definedName name="V_KEYWORD_ISSR_208011830_OP_OTH_AEJ">#REF!</definedName>
    <definedName name="V_KEYWORD_ISSR_208011830_OP_OTH_AM">#REF!</definedName>
    <definedName name="V_KEYWORD_ISSR_208011830_OP_OTH_EMEA">#REF!</definedName>
    <definedName name="V_KEYWORD_ISSR_208011830_OP_OTHER">#REF!</definedName>
    <definedName name="V_KEYWORD_ISSR_208011830_OP_POR">#REF!</definedName>
    <definedName name="V_KEYWORD_ISSR_208011830_OP_RUSSIA">#REF!</definedName>
    <definedName name="V_KEYWORD_ISSR_208011830_OP_SK">#REF!</definedName>
    <definedName name="V_KEYWORD_ISSR_208011830_OP_SPA">#REF!</definedName>
    <definedName name="V_KEYWORD_ISSR_208011830_OP_SWE">#REF!</definedName>
    <definedName name="V_KEYWORD_ISSR_208011830_OP_SWIT">#REF!</definedName>
    <definedName name="V_KEYWORD_ISSR_208011830_OP_TOT_AM">#REF!</definedName>
    <definedName name="V_KEYWORD_ISSR_208011830_OP_TOT_ASIA">#REF!</definedName>
    <definedName name="V_KEYWORD_ISSR_208011830_OP_TOT_EMEA">#REF!</definedName>
    <definedName name="V_KEYWORD_ISSR_208011830_OP_UK">#REF!</definedName>
    <definedName name="V_KEYWORD_ISSR_208011830_OP_US">#REF!</definedName>
    <definedName name="V_KEYWORD_ISSR_208011830_SALES_AUSTRA">#REF!</definedName>
    <definedName name="V_KEYWORD_ISSR_208011830_SALES_AUSTRIA">#REF!</definedName>
    <definedName name="V_KEYWORD_ISSR_208011830_SALES_BEL">#REF!</definedName>
    <definedName name="V_KEYWORD_ISSR_208011830_SALES_DEN">#REF!</definedName>
    <definedName name="V_KEYWORD_ISSR_208011830_SALES_FIN">#REF!</definedName>
    <definedName name="V_KEYWORD_ISSR_208011830_SALES_FRA">#REF!</definedName>
    <definedName name="V_KEYWORD_ISSR_208011830_SALES_GER">#REF!</definedName>
    <definedName name="V_KEYWORD_ISSR_208011830_SALES_GRE">#REF!</definedName>
    <definedName name="V_KEYWORD_ISSR_208011830_SALES_ICE">#REF!</definedName>
    <definedName name="V_KEYWORD_ISSR_208011830_SALES_IRE">#REF!</definedName>
    <definedName name="V_KEYWORD_ISSR_208011830_SALES_ITA">#REF!</definedName>
    <definedName name="V_KEYWORD_ISSR_208011830_SALES_NETH">#REF!</definedName>
    <definedName name="V_KEYWORD_ISSR_208011830_SALES_NOR">#REF!</definedName>
    <definedName name="V_KEYWORD_ISSR_208011830_SALES_NZ">#REF!</definedName>
    <definedName name="V_KEYWORD_ISSR_208011830_SALES_POR">#REF!</definedName>
    <definedName name="V_KEYWORD_ISSR_208011830_SALES_SK">#REF!</definedName>
    <definedName name="V_KEYWORD_ISSR_208011830_SALES_SPA">#REF!</definedName>
    <definedName name="V_KEYWORD_ISSR_208011830_SALES_SWE">#REF!</definedName>
    <definedName name="V_KEYWORD_ISSR_208011830_SALES_SWIT">#REF!</definedName>
    <definedName name="V_PERIOD_2008">#REF!</definedName>
    <definedName name="V_PERIOD_2009">#REF!</definedName>
    <definedName name="VA">#REF!</definedName>
    <definedName name="valuation">#REF!</definedName>
    <definedName name="vgbh" hidden="1">{#N/A,#N/A,FALSE,"SUMMARY";#N/A,#N/A,FALSE,"DETAIL";#N/A,#N/A,FALSE,"VARIANCE"}</definedName>
    <definedName name="view_comps">#REF!</definedName>
    <definedName name="vm">#REF!</definedName>
    <definedName name="vvvv" hidden="1">{#N/A,#N/A,FALSE,"FAB VENDORS";"BUD SUM",#N/A,FALSE,"BUD SUM WO TEX"}</definedName>
    <definedName name="w3e" hidden="1">{#N/A,#N/A,FALSE,"Carterco"}</definedName>
    <definedName name="wacc">#REF!</definedName>
    <definedName name="WHO" hidden="1">{#N/A,#N/A,FALSE,"SUMMARY";#N/A,#N/A,FALSE,"DETAIL";#N/A,#N/A,FALSE,"VARIANCE"}</definedName>
    <definedName name="wippccmpsum">#REF!</definedName>
    <definedName name="wippctcomplete">#REF!</definedName>
    <definedName name="work">#REF!</definedName>
    <definedName name="wrn.Accretion." hidden="1">{"Accretion",#N/A,FALSE,"Assum"}</definedName>
    <definedName name="wrn.all." hidden="1">{#N/A,#N/A,FALSE,"Time Warner";#N/A,#N/A,FALSE,"Entertainment Group";#N/A,#N/A,FALSE,"EBITDA";#N/A,#N/A,FALSE,"Notes"}</definedName>
    <definedName name="wrn.Assumptions." hidden="1">{"Assumptions",#N/A,FALSE,"Assum"}</definedName>
    <definedName name="wrn.Barranca." hidden="1">{#N/A,#N/A,FALSE,"Barranca"}</definedName>
    <definedName name="wrn.BEL." hidden="1">{"IS",#N/A,FALSE,"IS";"RPTIS",#N/A,FALSE,"RPTIS";"STATS",#N/A,FALSE,"STATS";"CELL",#N/A,FALSE,"CELL";"BS",#N/A,FALSE,"BS"}</definedName>
    <definedName name="wrn.Book._.Output." hidden="1">{#N/A,#N/A,FALSE,"Title";#N/A,#N/A,FALSE,"Inputs";#N/A,#N/A,FALSE,"Impact";#N/A,#N/A,FALSE,"Sources &amp; Uses";#N/A,#N/A,FALSE,"Capitalization Impact";#N/A,#N/A,FALSE,"NEWCO Projections"}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Carterco." hidden="1">{#N/A,#N/A,FALSE,"Carterco"}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ed." localSheetId="0" hidden="1">{"Quarterly (Earnings model )",#N/A,FALSE,"Earnings model ";"Quarterlycompare (Earnings model )",#N/A,FALSE,"Earnings model ";"Annual (Earnings model )",#N/A,FALSE,"Earnings model "}</definedName>
    <definedName name="wrn.Combined." hidden="1">{"Quarterly (Earnings model )",#N/A,FALSE,"Earnings model ";"Quarterlycompare (Earnings model )",#N/A,FALSE,"Earnings model ";"Annual (Earnings model )",#N/A,FALSE,"Earnings model 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CW." hidden="1">{#N/A,#N/A,FALSE,"FAB VENDORS";"BUD SUM",#N/A,FALSE,"BUD SUM WO TEX"}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CB." hidden="1">{"FCB_ALL",#N/A,FALSE,"FCB"}</definedName>
    <definedName name="wrn.fcb2" hidden="1">{"FCB_ALL",#N/A,FALSE,"FCB"}</definedName>
    <definedName name="wrn.MONTH_END." hidden="1">{#N/A,#N/A,FALSE,"SUMMARY";#N/A,#N/A,FALSE,"DETAIL";#N/A,#N/A,FALSE,"VARIANCE"}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Output." hidden="1">{#N/A,#N/A,TRUE,"Title";#N/A,#N/A,TRUE,"Inputs";#N/A,#N/A,TRUE,"Impact";#N/A,#N/A,TRUE,"Sources &amp; Uses";#N/A,#N/A,TRUE,"Capitalization Impact";#N/A,#N/A,TRUE,"NEWCO Projections";#N/A,#N/A,TRUE,"Summary - ITT";#N/A,#N/A,TRUE,"Summary - Forte";#N/A,#N/A,TRUE,"Balance Sheet Adj.";#N/A,#N/A,TRUE,"Calculation Verification"}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{"output","fiftysix",FALSE,"mergerplans";"inputs",#N/A,FALSE,"mergerplans";"output","sixtyfive",FALSE,"mergerplans";"output","seventy",FALSE,"mergerplans"}</definedName>
    <definedName name="wrn.RESERVE._.SCHEDULE." hidden="1">{#N/A,#N/A,FALSE,"Sheet8";#N/A,#N/A,FALSE,"Sheet7"}</definedName>
    <definedName name="wrn.Revenue._.Details." localSheetId="0" hidden="1">{"Revenue by Industry Chart",#N/A,FALSE,"Mix";"Annual Revenue Detail",#N/A,FALSE,"Mix";"Quarterly Revenue Detail",#N/A,FALSE,"Mix"}</definedName>
    <definedName name="wrn.Revenue._.Details." hidden="1">{"Revenue by Industry Chart",#N/A,FALSE,"Mix";"Annual Revenue Detail",#N/A,FALSE,"Mix";"Quarterly Revenue Detail",#N/A,FALSE,"Mix"}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an._.Pedro." hidden="1">{#N/A,#N/A,FALSE,"San Pedro"}</definedName>
    <definedName name="wrn.STAND_ALONE_BOTH." hidden="1">{"FCB_ALL",#N/A,FALSE,"FCB";"GREY_ALL",#N/A,FALSE,"GREY"}</definedName>
    <definedName name="wrn.Summary._.Output." hidden="1">{#N/A,#N/A,FALSE,"Title";#N/A,#N/A,FALSE,"Inputs";#N/A,#N/A,FALSE,"Impact"}</definedName>
    <definedName name="wrn.Summary._.Projections." hidden="1">{#N/A,#N/A,FALSE,"Summary - Forte";#N/A,#N/A,FALSE,"Summary - ITT"}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USW." hidden="1">{"IS",#N/A,FALSE,"IS";"RPTIS",#N/A,FALSE,"RPTIS";"STATS",#N/A,FALSE,"STATS";"BS",#N/A,FALSE,"BS"}</definedName>
    <definedName name="wsed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>#REF!</definedName>
    <definedName name="XR">#REF!</definedName>
    <definedName name="xx" hidden="1">{#N/A,#N/A,FALSE,"Title";#N/A,#N/A,FALSE,"Inputs";#N/A,#N/A,FALSE,"Impact";#N/A,#N/A,FALSE,"Sources &amp; Uses";#N/A,#N/A,FALSE,"Capitalization Impact";#N/A,#N/A,FALSE,"NEWCO Projections"}</definedName>
    <definedName name="xxxx" hidden="1">{#N/A,#N/A,FALSE,"Sheet1";#N/A,#N/A,FALSE,"Sheet2";#N/A,#N/A,FALSE,"Sheet3";#N/A,#N/A,FALSE,"Sheet4";#N/A,#N/A,FALSE,"Sheet5";#N/A,#N/A,FALSE,"Sheet6"}</definedName>
    <definedName name="year">#REF!</definedName>
    <definedName name="Year_L">#REF!</definedName>
    <definedName name="year_ll">#REF!</definedName>
    <definedName name="YEAR1">#REF!</definedName>
    <definedName name="YEAR22">#REF!</definedName>
    <definedName name="YEARI">#REF!</definedName>
    <definedName name="Years">#REF!</definedName>
    <definedName name="yes">#REF!</definedName>
    <definedName name="yield">#REF!</definedName>
    <definedName name="YTD">#REF!</definedName>
    <definedName name="YTDbp">#REF!</definedName>
    <definedName name="YTDpercentBps">#REF!</definedName>
    <definedName name="YTDPL">#REF!</definedName>
    <definedName name="yyyy" hidden="1">{#N/A,#N/A,FALSE,"Sheet1";#N/A,#N/A,FALSE,"Sheet2";#N/A,#N/A,FALSE,"Sheet3";#N/A,#N/A,FALSE,"Sheet4";#N/A,#N/A,FALSE,"Sheet5";#N/A,#N/A,FALSE,"Sheet6"}</definedName>
    <definedName name="z" hidden="1">{#N/A,#N/A,FALSE,"Sheet1";#N/A,#N/A,FALSE,"Sheet2";#N/A,#N/A,FALSE,"Sheet3";#N/A,#N/A,FALSE,"Sheet4";#N/A,#N/A,FALSE,"Sheet5";#N/A,#N/A,FALSE,"Sheet6"}</definedName>
    <definedName name="zb" hidden="1">{#N/A,#N/A,FALSE,"Sheet1";#N/A,#N/A,FALSE,"Sheet2";#N/A,#N/A,FALSE,"Sheet3";#N/A,#N/A,FALSE,"Sheet4";#N/A,#N/A,FALSE,"Sheet5";#N/A,#N/A,FALSE,"Sheet6"}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<sst xmlns="http://schemas.openxmlformats.org/spreadsheetml/2006/main" count="2178" uniqueCount="508">
  <si>
    <t>Lululemon Athetica Inc. (LULU)</t>
  </si>
  <si>
    <t>COMPANY MODEL</t>
  </si>
  <si>
    <t>Sources: Company data, Goldman Sachs Global Investment Research</t>
  </si>
  <si>
    <t>Date: September 4th, 2026</t>
  </si>
  <si>
    <t>Brooke Roach, CFA</t>
  </si>
  <si>
    <t>Managing Director</t>
  </si>
  <si>
    <t>tel: 212-357-2421</t>
  </si>
  <si>
    <t>brooke.roach@gs.com</t>
  </si>
  <si>
    <t>Mentesnot Adamu</t>
  </si>
  <si>
    <t>Analyst</t>
  </si>
  <si>
    <t>tel: 801-744-0630</t>
  </si>
  <si>
    <t>mentesnot.adamu@gs.com</t>
  </si>
  <si>
    <t>Carly Chasen</t>
  </si>
  <si>
    <t>tel: 212-902-2327</t>
  </si>
  <si>
    <t>carly.chasen@gs.com</t>
  </si>
  <si>
    <t>Lululemon Athletica Inc. (LULU)</t>
  </si>
  <si>
    <t>Consolidated</t>
  </si>
  <si>
    <t>$ millions except per-share data, fiscal year ending January</t>
  </si>
  <si>
    <t>FY04</t>
  </si>
  <si>
    <t>1Q</t>
  </si>
  <si>
    <t>2Q</t>
  </si>
  <si>
    <t>3Q</t>
  </si>
  <si>
    <t>4Q</t>
  </si>
  <si>
    <t>FY05</t>
  </si>
  <si>
    <t>FY06</t>
  </si>
  <si>
    <t>FY07</t>
  </si>
  <si>
    <t>FY08*</t>
  </si>
  <si>
    <t>FY09</t>
  </si>
  <si>
    <t>FY10</t>
  </si>
  <si>
    <t>FY11</t>
  </si>
  <si>
    <t>FY12*</t>
  </si>
  <si>
    <t>FY13*</t>
  </si>
  <si>
    <t>FY14</t>
  </si>
  <si>
    <t>FY15</t>
  </si>
  <si>
    <t>FY16</t>
  </si>
  <si>
    <t>FY17</t>
  </si>
  <si>
    <t>FY18*</t>
  </si>
  <si>
    <t>FY19</t>
  </si>
  <si>
    <t>FY20</t>
  </si>
  <si>
    <t>FY21</t>
  </si>
  <si>
    <t>3QE</t>
  </si>
  <si>
    <t>FY22</t>
  </si>
  <si>
    <t>FY23</t>
  </si>
  <si>
    <t>FY24</t>
  </si>
  <si>
    <t>FY25</t>
  </si>
  <si>
    <t>4QE</t>
  </si>
  <si>
    <t>FY26E</t>
  </si>
  <si>
    <t>1QE</t>
  </si>
  <si>
    <t>2QE</t>
  </si>
  <si>
    <t>FY27E</t>
  </si>
  <si>
    <t>FY28E</t>
  </si>
  <si>
    <t>DIVISIONAL SUMMARY</t>
  </si>
  <si>
    <t xml:space="preserve">Net Sales </t>
  </si>
  <si>
    <t>Stores</t>
  </si>
  <si>
    <t>Direct</t>
  </si>
  <si>
    <t>Other</t>
  </si>
  <si>
    <t>Total</t>
  </si>
  <si>
    <t>Americas</t>
  </si>
  <si>
    <t>Mainland China</t>
  </si>
  <si>
    <t>Rest of World</t>
  </si>
  <si>
    <t>Operating Income</t>
  </si>
  <si>
    <t>Segment Operating Profit</t>
  </si>
  <si>
    <t>Corporate Expense</t>
  </si>
  <si>
    <t>Amortization of Intangible Assets &amp; Other</t>
  </si>
  <si>
    <t>Segment EBIT</t>
  </si>
  <si>
    <t>Corporate</t>
  </si>
  <si>
    <t>Total EBIT</t>
  </si>
  <si>
    <t>CONSOLIDATED INCOME STATEMENT</t>
  </si>
  <si>
    <t>Net Sales</t>
  </si>
  <si>
    <t xml:space="preserve">  % chg. Y/Y</t>
  </si>
  <si>
    <t>Total COGS</t>
  </si>
  <si>
    <t>Gross Profit</t>
  </si>
  <si>
    <t>% sales</t>
  </si>
  <si>
    <t>Margin chg. Y/Y bps</t>
  </si>
  <si>
    <t>Total SG&amp;A</t>
  </si>
  <si>
    <t xml:space="preserve">  % of sales</t>
  </si>
  <si>
    <t>EBIT</t>
  </si>
  <si>
    <t>Net Interest / Other</t>
  </si>
  <si>
    <t>Pre-Tax</t>
  </si>
  <si>
    <t>Taxes</t>
  </si>
  <si>
    <t xml:space="preserve">  Effective Tax Rate</t>
  </si>
  <si>
    <t>Consolidated Net Income</t>
  </si>
  <si>
    <t>Minority Interest</t>
  </si>
  <si>
    <t>Net to Majority</t>
  </si>
  <si>
    <t>Period-End Shares</t>
  </si>
  <si>
    <t>Basic Average Shares</t>
  </si>
  <si>
    <t>Diluted Average Shares</t>
  </si>
  <si>
    <t>Comparable EPS</t>
  </si>
  <si>
    <t>One-Time Items</t>
  </si>
  <si>
    <t xml:space="preserve">  % chg. in adjusted EPS</t>
  </si>
  <si>
    <t>GAAP EPS</t>
  </si>
  <si>
    <t>EBITDA</t>
  </si>
  <si>
    <t>Rent</t>
  </si>
  <si>
    <t>EBITDAR</t>
  </si>
  <si>
    <t>FCF per Share</t>
  </si>
  <si>
    <t>FCF Conversion</t>
  </si>
  <si>
    <t>CASH FLOW STATEMENT</t>
  </si>
  <si>
    <t>Quarterly</t>
  </si>
  <si>
    <t>Net Income (Comparable)</t>
  </si>
  <si>
    <t>One-Timers</t>
  </si>
  <si>
    <t>GAAP Net Income</t>
  </si>
  <si>
    <t>D&amp;A</t>
  </si>
  <si>
    <t>Share-Based Compensation</t>
  </si>
  <si>
    <t>Deferred Income Tax</t>
  </si>
  <si>
    <t>Accounts Receivable</t>
  </si>
  <si>
    <t>Inventories</t>
  </si>
  <si>
    <t>Other Current Assets</t>
  </si>
  <si>
    <t>Accounts Payable</t>
  </si>
  <si>
    <t>Other Current Liabilities</t>
  </si>
  <si>
    <t>Working Captial</t>
  </si>
  <si>
    <t>Other Non-Current</t>
  </si>
  <si>
    <t>Cash From Operations</t>
  </si>
  <si>
    <t>Capex</t>
  </si>
  <si>
    <t>Acquisitions</t>
  </si>
  <si>
    <t>Cash From Investing</t>
  </si>
  <si>
    <t>Debt</t>
  </si>
  <si>
    <t>Stock Buybacks</t>
  </si>
  <si>
    <t>Other Equity</t>
  </si>
  <si>
    <t>Dividends</t>
  </si>
  <si>
    <t>Cash From Financing</t>
  </si>
  <si>
    <t>Forex</t>
  </si>
  <si>
    <t>Change in Cash</t>
  </si>
  <si>
    <t>Beginning Cash</t>
  </si>
  <si>
    <t>Ending Cash</t>
  </si>
  <si>
    <t>Check</t>
  </si>
  <si>
    <t>Free-Cash Flow</t>
  </si>
  <si>
    <t>Cash Flow Year to Date</t>
  </si>
  <si>
    <t>BALANCE SHEET</t>
  </si>
  <si>
    <t>Cash and Equivalents</t>
  </si>
  <si>
    <t>Merchandise Inventory</t>
  </si>
  <si>
    <t>Prepaid Expenses and Other</t>
  </si>
  <si>
    <t>Current Assets</t>
  </si>
  <si>
    <t>Gross PP&amp;E</t>
  </si>
  <si>
    <t>Accumulated Depreciation</t>
  </si>
  <si>
    <t>Net PP&amp;E</t>
  </si>
  <si>
    <t>Gross Gw &amp; Int</t>
  </si>
  <si>
    <t>Accum Amortization</t>
  </si>
  <si>
    <t>Net Goodwill &amp; Intangibles</t>
  </si>
  <si>
    <t>Operating Lease Assets</t>
  </si>
  <si>
    <t xml:space="preserve">Other Non-Current Assets </t>
  </si>
  <si>
    <t>Total Assets</t>
  </si>
  <si>
    <t>ST Debt</t>
  </si>
  <si>
    <t>Unredeemed Gift Card Liability</t>
  </si>
  <si>
    <t>Current Lease Liabilities</t>
  </si>
  <si>
    <t>Other Liabilities</t>
  </si>
  <si>
    <t>Current Liabilities</t>
  </si>
  <si>
    <t>LT Debt</t>
  </si>
  <si>
    <t>Long-Term Lease Liabilities</t>
  </si>
  <si>
    <t>Other Long-Term Liabilities</t>
  </si>
  <si>
    <t>Shareholder Equity</t>
  </si>
  <si>
    <t>Non-Controlling Interest</t>
  </si>
  <si>
    <t>Total Liabilities and Shareholder Equity</t>
  </si>
  <si>
    <t>BALANCE SHEET DRIVERS AND OTHER METRICS</t>
  </si>
  <si>
    <t>TTM Sales</t>
  </si>
  <si>
    <t>TTM COGS</t>
  </si>
  <si>
    <t>TTM EBITDA</t>
  </si>
  <si>
    <t>TTM Depreciation</t>
  </si>
  <si>
    <t>AR/TTM sales</t>
  </si>
  <si>
    <t>AP/TTM COGS</t>
  </si>
  <si>
    <t>Unredeemed Gift Card Liability/TTM sales</t>
  </si>
  <si>
    <t>D&amp;A % Gross PP&amp;E</t>
  </si>
  <si>
    <t>D&amp;A % chg Y/Y</t>
  </si>
  <si>
    <t>D&amp;A % chg qoq</t>
  </si>
  <si>
    <t>Capex worksheet</t>
  </si>
  <si>
    <t>Capex for stores (total)</t>
  </si>
  <si>
    <t>Store capex as a % of store sales</t>
  </si>
  <si>
    <t>Store capex % chg yoy</t>
  </si>
  <si>
    <t>Capex / store (000s)</t>
  </si>
  <si>
    <t>Capex / store % chg yoy</t>
  </si>
  <si>
    <t>Capex / sq ft</t>
  </si>
  <si>
    <t>Capex for existing stores</t>
  </si>
  <si>
    <t># Existing stores</t>
  </si>
  <si>
    <t xml:space="preserve">Capex / existing store </t>
  </si>
  <si>
    <t>Existing sq ft</t>
  </si>
  <si>
    <t>Capex / existing sq ft</t>
  </si>
  <si>
    <t>Capex for New stores</t>
  </si>
  <si>
    <t># New stores</t>
  </si>
  <si>
    <t>capex / new store</t>
  </si>
  <si>
    <t xml:space="preserve">Assumed sq ft (company average) </t>
  </si>
  <si>
    <t>Capex / new sq ft</t>
  </si>
  <si>
    <t xml:space="preserve">Capex for DTC </t>
  </si>
  <si>
    <t>DTC capex as a % of DTC sales</t>
  </si>
  <si>
    <t>Corporate Capex</t>
  </si>
  <si>
    <t>Corporate capex % chg yoy</t>
  </si>
  <si>
    <t>Total capex</t>
  </si>
  <si>
    <t>% chg yoy</t>
  </si>
  <si>
    <t>% of sales</t>
  </si>
  <si>
    <t>Inventory worksheet</t>
  </si>
  <si>
    <t>Total Inventory</t>
  </si>
  <si>
    <t>%chg yoy</t>
  </si>
  <si>
    <t>% of TTM COGS</t>
  </si>
  <si>
    <t>% of Sales</t>
  </si>
  <si>
    <t>$ chg qoq</t>
  </si>
  <si>
    <t>% chg qoq</t>
  </si>
  <si>
    <t>Cash Conversion</t>
  </si>
  <si>
    <t>Days in Period</t>
  </si>
  <si>
    <t>Sales</t>
  </si>
  <si>
    <t>Average Accounts Receivable</t>
  </si>
  <si>
    <t>AR Turnover</t>
  </si>
  <si>
    <t>AR Days</t>
  </si>
  <si>
    <t xml:space="preserve">  % chg. Y/Y in AR</t>
  </si>
  <si>
    <t>Inventory</t>
  </si>
  <si>
    <t>Average Inventory</t>
  </si>
  <si>
    <t>Inventory Turnover</t>
  </si>
  <si>
    <t>Inventory Days</t>
  </si>
  <si>
    <t xml:space="preserve">  % chg. Y/Y in Inventory</t>
  </si>
  <si>
    <t>Purchases</t>
  </si>
  <si>
    <t xml:space="preserve">  % chg. Y/Y in purchases</t>
  </si>
  <si>
    <t>--</t>
  </si>
  <si>
    <t>Average Accounts Payable</t>
  </si>
  <si>
    <t>AP Turnover</t>
  </si>
  <si>
    <t>AP Days</t>
  </si>
  <si>
    <t xml:space="preserve">  % chg. Y/Y in AP</t>
  </si>
  <si>
    <t>Net Working Capital</t>
  </si>
  <si>
    <t>Net Working Capital ∆</t>
  </si>
  <si>
    <t>GMROI</t>
  </si>
  <si>
    <t>Interest Expense Worksheet</t>
  </si>
  <si>
    <t>Short Term Debt</t>
  </si>
  <si>
    <t>Long Term Debt</t>
  </si>
  <si>
    <t>Total Debt</t>
  </si>
  <si>
    <t>Average Debt</t>
  </si>
  <si>
    <t>Net Change in Debt</t>
  </si>
  <si>
    <t>Cash</t>
  </si>
  <si>
    <t>Average Cash</t>
  </si>
  <si>
    <t>Other Income</t>
  </si>
  <si>
    <t>Interest Income Rate (Annual Basis)</t>
  </si>
  <si>
    <t>Hardpaste - Other income</t>
  </si>
  <si>
    <t>Return and Other Metrics</t>
  </si>
  <si>
    <t>Debt and Leverage Ratios</t>
  </si>
  <si>
    <t>Net Debt (Cash)</t>
  </si>
  <si>
    <t>Net Debt: EBITDA</t>
  </si>
  <si>
    <t>PVOL</t>
  </si>
  <si>
    <t>Adjusted Net Debt (Cash)</t>
  </si>
  <si>
    <t>Adjusted Net Debt:EBITDAR: PVOL method</t>
  </si>
  <si>
    <t>Net Debt (Cash) incl. Lease Liabilities</t>
  </si>
  <si>
    <t>Net Debt incl/ Lease:EBITDAR</t>
  </si>
  <si>
    <t>Other BS Items</t>
  </si>
  <si>
    <t>NOLs</t>
  </si>
  <si>
    <t>Foreign Cash</t>
  </si>
  <si>
    <t>Returns Analysis</t>
  </si>
  <si>
    <t>Net Income</t>
  </si>
  <si>
    <t>add back: After-Tax Rent</t>
  </si>
  <si>
    <t>add back: After-Tax Interest</t>
  </si>
  <si>
    <t>NOPAT</t>
  </si>
  <si>
    <t>Trade Working Capital</t>
  </si>
  <si>
    <t>Invested Capital ex. Lease Assets</t>
  </si>
  <si>
    <t>add back: PVOL</t>
  </si>
  <si>
    <t>Adjusted Invested Capital</t>
  </si>
  <si>
    <t>Average Adjusted Invested Capital</t>
  </si>
  <si>
    <t>ROIC: PVOL method</t>
  </si>
  <si>
    <t>Invested Capital incl. Lease Assets</t>
  </si>
  <si>
    <t>Average Invested Capital</t>
  </si>
  <si>
    <t>ROIC: Lease Asset method</t>
  </si>
  <si>
    <t>Gross Cash Invested</t>
  </si>
  <si>
    <t>Average Gross Cash Invested</t>
  </si>
  <si>
    <t>add back: Increase/(decrease) in working capital</t>
  </si>
  <si>
    <t>add back: Tax Adjusted Interest</t>
  </si>
  <si>
    <t>add back: Tax Adjusted Rent</t>
  </si>
  <si>
    <t>Debt-Adjusted Cash Flow</t>
  </si>
  <si>
    <t>CROCI</t>
  </si>
  <si>
    <t>Assets excl. Lease Assets</t>
  </si>
  <si>
    <t>Adjusted Assets</t>
  </si>
  <si>
    <t>Average Adjusted Assets</t>
  </si>
  <si>
    <t>ROA: PVOL method</t>
  </si>
  <si>
    <t>Assets</t>
  </si>
  <si>
    <t>Average Assets</t>
  </si>
  <si>
    <t>ROA</t>
  </si>
  <si>
    <t>ROE</t>
  </si>
  <si>
    <t>Share Count Build</t>
  </si>
  <si>
    <t>Period end shares</t>
  </si>
  <si>
    <t>Average common shares</t>
  </si>
  <si>
    <t>Dilution</t>
  </si>
  <si>
    <t>Average diluted shares</t>
  </si>
  <si>
    <t xml:space="preserve">Buybacks (mn shares) </t>
  </si>
  <si>
    <t>Buybacks ($mn)</t>
  </si>
  <si>
    <t>Purchase price ($)</t>
  </si>
  <si>
    <t>Purchase price growth assumption</t>
  </si>
  <si>
    <t>Segment Build</t>
  </si>
  <si>
    <t>Jan</t>
  </si>
  <si>
    <t>Apr</t>
  </si>
  <si>
    <t>Jul</t>
  </si>
  <si>
    <t>Oct</t>
  </si>
  <si>
    <t>FY12</t>
  </si>
  <si>
    <t>Consolidated Summary</t>
  </si>
  <si>
    <t>Sales Summary</t>
  </si>
  <si>
    <t>Total sales</t>
  </si>
  <si>
    <t>2-yr CAGR</t>
  </si>
  <si>
    <t xml:space="preserve">  % chg Y/Y, FX-Neutral</t>
  </si>
  <si>
    <t xml:space="preserve">  FX impact</t>
  </si>
  <si>
    <t>Comp Store Sales ex-FX</t>
  </si>
  <si>
    <t>Comp Direct Sales ex-FX</t>
  </si>
  <si>
    <t>Americas Comp ex-FX</t>
  </si>
  <si>
    <t>Mainland China Comp ex-FX</t>
  </si>
  <si>
    <t>Rest of World Comp ex-FX</t>
  </si>
  <si>
    <t>Comp Sales ex-FX: Calced</t>
  </si>
  <si>
    <t>Comp Sales ex-FX: Reported</t>
  </si>
  <si>
    <t>Channel Sales:</t>
  </si>
  <si>
    <t>Category Sales:</t>
  </si>
  <si>
    <t>Women's</t>
  </si>
  <si>
    <t>Men's</t>
  </si>
  <si>
    <t>Store Summary</t>
  </si>
  <si>
    <t>Americas Stores</t>
  </si>
  <si>
    <t>China Mainland Stores</t>
  </si>
  <si>
    <t>RoW Stores</t>
  </si>
  <si>
    <t>Total Stores</t>
  </si>
  <si>
    <t>Net additions/closures</t>
  </si>
  <si>
    <t>Average Stores</t>
  </si>
  <si>
    <t>% chg. Y/Y</t>
  </si>
  <si>
    <t>Period-end Gross Sq Ft</t>
  </si>
  <si>
    <t>Average Gross Square Feet</t>
  </si>
  <si>
    <t>Avg. Square Feet per Store (000s)</t>
  </si>
  <si>
    <t>Sales per Avg. Store (TTM)</t>
  </si>
  <si>
    <t>Sales per Avg. Square Foot (TTM)</t>
  </si>
  <si>
    <t>Sales per Sq Foot (existing stores)- Reported</t>
  </si>
  <si>
    <t>ND</t>
  </si>
  <si>
    <t>Revenue from Non-Comp Stores - reported</t>
  </si>
  <si>
    <t>Revenue from Comp Stores</t>
  </si>
  <si>
    <t>Margin Summary</t>
  </si>
  <si>
    <t>Product Costs</t>
  </si>
  <si>
    <t>Merch. margin</t>
  </si>
  <si>
    <t>bps chg. Y/Y</t>
  </si>
  <si>
    <t>Other Cost of Sales</t>
  </si>
  <si>
    <t>% margin</t>
  </si>
  <si>
    <t>SG&amp;A</t>
  </si>
  <si>
    <t>Amort. of intangibles &amp; Other</t>
  </si>
  <si>
    <t>Other Expense Disclosures</t>
  </si>
  <si>
    <t>Shipping expense</t>
  </si>
  <si>
    <t>Advertising and marketing expense</t>
  </si>
  <si>
    <t>Gross Margin Drivers (bps)</t>
  </si>
  <si>
    <t>Product Margin</t>
  </si>
  <si>
    <t xml:space="preserve">  Markdown Comment</t>
  </si>
  <si>
    <t>-30 (higher)</t>
  </si>
  <si>
    <t>-70 (higher)</t>
  </si>
  <si>
    <t>Higher</t>
  </si>
  <si>
    <t>Lower, 50bps</t>
  </si>
  <si>
    <t>Lower, 20bps</t>
  </si>
  <si>
    <t>Lower</t>
  </si>
  <si>
    <t>lower</t>
  </si>
  <si>
    <t>flat</t>
  </si>
  <si>
    <t>comment</t>
  </si>
  <si>
    <t xml:space="preserve">   Rent and D&amp;A</t>
  </si>
  <si>
    <t xml:space="preserve">   Product Teams</t>
  </si>
  <si>
    <t>BOW and D&amp;A</t>
  </si>
  <si>
    <t>FX</t>
  </si>
  <si>
    <t>SG&amp;A Drivers (bps)</t>
  </si>
  <si>
    <t>Operating Channel</t>
  </si>
  <si>
    <t>deleverage</t>
  </si>
  <si>
    <t>deleverage on Mirror</t>
  </si>
  <si>
    <t>Mirror</t>
  </si>
  <si>
    <t>leverage</t>
  </si>
  <si>
    <t>Administrative</t>
  </si>
  <si>
    <t>higher corp.</t>
  </si>
  <si>
    <t>higher corp</t>
  </si>
  <si>
    <t>headwind</t>
  </si>
  <si>
    <t>Gross Profit Model - OLD</t>
  </si>
  <si>
    <t>Merch and Other Costs</t>
  </si>
  <si>
    <t>Merchandise Margin ($)</t>
  </si>
  <si>
    <t xml:space="preserve">  Merchandise Margin (%)</t>
  </si>
  <si>
    <t>Inventory Write-Offs</t>
  </si>
  <si>
    <t>% chg Y/Y</t>
  </si>
  <si>
    <t>Total Lululemon Cost of Goods</t>
  </si>
  <si>
    <t>Total Lululemon Gross Profit</t>
  </si>
  <si>
    <t>Total LULU EBIT Model - OLD</t>
  </si>
  <si>
    <t>Total Lululemon SG&amp;A</t>
  </si>
  <si>
    <t>Segmental EBIT</t>
  </si>
  <si>
    <t>Segment Build - NEW</t>
  </si>
  <si>
    <t>US</t>
  </si>
  <si>
    <t>Canada</t>
  </si>
  <si>
    <t>Mexico</t>
  </si>
  <si>
    <t>Americas Sales</t>
  </si>
  <si>
    <t>% chg. y/y</t>
  </si>
  <si>
    <t>% chg. y/y ex-FX</t>
  </si>
  <si>
    <t>FX impact</t>
  </si>
  <si>
    <t>Americas Comp</t>
  </si>
  <si>
    <t>NSP (implied)</t>
  </si>
  <si>
    <t>Other and 53rd Week</t>
  </si>
  <si>
    <t>US ex-Puerto Rico</t>
  </si>
  <si>
    <t>Avg. Americas Stores</t>
  </si>
  <si>
    <t>Merchandise margin</t>
  </si>
  <si>
    <t>bps chg. y/y</t>
  </si>
  <si>
    <t>Americas Gross Profit</t>
  </si>
  <si>
    <t>% of Americas sales</t>
  </si>
  <si>
    <t>Americas EBIT</t>
  </si>
  <si>
    <t>Americas GP/Store</t>
  </si>
  <si>
    <t>Americas EBIT/Store</t>
  </si>
  <si>
    <t>Americas D&amp;A</t>
  </si>
  <si>
    <t>Americas EBITDA</t>
  </si>
  <si>
    <t>China Mainland</t>
  </si>
  <si>
    <t>Greater China</t>
  </si>
  <si>
    <t>Hong Kong, Taiwan, and Macau</t>
  </si>
  <si>
    <t>China Mainland Sales</t>
  </si>
  <si>
    <t>China Mainland Comp</t>
  </si>
  <si>
    <t>China Mainland Comp ex-FX</t>
  </si>
  <si>
    <t>Mainland China Stores</t>
  </si>
  <si>
    <t>Avg. Mainland China Stores</t>
  </si>
  <si>
    <t>China Mainland Gross Profit</t>
  </si>
  <si>
    <t>% of MC sales</t>
  </si>
  <si>
    <t>China Mainland EBIT</t>
  </si>
  <si>
    <t>China Mainland D&amp;A</t>
  </si>
  <si>
    <t>China Mainland EBITDA</t>
  </si>
  <si>
    <t>Other (Excluding Greater China)</t>
  </si>
  <si>
    <t>Other (Including Greater China)</t>
  </si>
  <si>
    <t>RoW Sales</t>
  </si>
  <si>
    <t>RoW Comp</t>
  </si>
  <si>
    <t>RoW Comp ex-FX</t>
  </si>
  <si>
    <t>Austral.</t>
  </si>
  <si>
    <t>New Zea.</t>
  </si>
  <si>
    <t>UK</t>
  </si>
  <si>
    <t>Singap.</t>
  </si>
  <si>
    <t>Japan</t>
  </si>
  <si>
    <t>HK/Macao</t>
  </si>
  <si>
    <t>Germany</t>
  </si>
  <si>
    <t>P. Rico</t>
  </si>
  <si>
    <t>S. Korea</t>
  </si>
  <si>
    <t>Switz.</t>
  </si>
  <si>
    <t>Ireland</t>
  </si>
  <si>
    <t>Taiwan</t>
  </si>
  <si>
    <t>Sweden</t>
  </si>
  <si>
    <t>France</t>
  </si>
  <si>
    <t>Spain</t>
  </si>
  <si>
    <t>Netherlands</t>
  </si>
  <si>
    <t>Malaysia</t>
  </si>
  <si>
    <t>Norway</t>
  </si>
  <si>
    <t>Thailand</t>
  </si>
  <si>
    <t>Italy</t>
  </si>
  <si>
    <t>Avg. RoW Stores</t>
  </si>
  <si>
    <t>RoW EBIT</t>
  </si>
  <si>
    <t>RoW D&amp;A</t>
  </si>
  <si>
    <t>RoW EBITDA</t>
  </si>
  <si>
    <t>Corporate in COGS</t>
  </si>
  <si>
    <t>% of total sales</t>
  </si>
  <si>
    <t>Corporate in SG&amp;A</t>
  </si>
  <si>
    <t>Amort.of intangibles &amp; Other</t>
  </si>
  <si>
    <t>Corporate expense</t>
  </si>
  <si>
    <t>Corporate D&amp;A</t>
  </si>
  <si>
    <t>SEGMENT BUILD - OLD</t>
  </si>
  <si>
    <t>Stores - OLD</t>
  </si>
  <si>
    <t>Total Store Sales</t>
  </si>
  <si>
    <t>Comparable Store Sales, ex-FX</t>
  </si>
  <si>
    <t>Reported Comparable Store Sales</t>
  </si>
  <si>
    <t>FX Impact on Comparable Sales</t>
  </si>
  <si>
    <t>Comparable store productivity vs. 2019</t>
  </si>
  <si>
    <t>&gt;100%</t>
  </si>
  <si>
    <t>&lt;100%</t>
  </si>
  <si>
    <t>Store and square footage build</t>
  </si>
  <si>
    <t>Openings</t>
  </si>
  <si>
    <t>Closures</t>
  </si>
  <si>
    <t>Period-end Stores</t>
  </si>
  <si>
    <t>Average stores</t>
  </si>
  <si>
    <t>NSP</t>
  </si>
  <si>
    <t>53rd / Ivviva</t>
  </si>
  <si>
    <t>Sales per Store</t>
  </si>
  <si>
    <t>Sales per Avg. Square Foot</t>
  </si>
  <si>
    <t>Stores by Geography and Banner</t>
  </si>
  <si>
    <t>Luluemon Stores:</t>
  </si>
  <si>
    <t xml:space="preserve">Total Lululemon US/Canada </t>
  </si>
  <si>
    <t>Lululemon US/Canada store growth</t>
  </si>
  <si>
    <t>Total Lululemon international</t>
  </si>
  <si>
    <t>Lululemon international store growth</t>
  </si>
  <si>
    <t>Total Lululemon Stores</t>
  </si>
  <si>
    <t>Lululemon growth</t>
  </si>
  <si>
    <t>Ivivva Stores:</t>
  </si>
  <si>
    <t>CAN</t>
  </si>
  <si>
    <t>Total IVIVVA</t>
  </si>
  <si>
    <t>Avg Gross Sq Ft</t>
  </si>
  <si>
    <t>Sq ft / store (000s)</t>
  </si>
  <si>
    <t>Sq ft/ new store (000s)</t>
  </si>
  <si>
    <t>Rent per Sq Ft (Annualized)</t>
  </si>
  <si>
    <t>Direct - OLD</t>
  </si>
  <si>
    <t>Total Direct sales</t>
  </si>
  <si>
    <t xml:space="preserve">  % chg. Vs 2019</t>
  </si>
  <si>
    <t xml:space="preserve">  Direct % of total sales</t>
  </si>
  <si>
    <t>Comp ex-FX</t>
  </si>
  <si>
    <t>Other - OLD</t>
  </si>
  <si>
    <t>Total Other sales</t>
  </si>
  <si>
    <t>Showrooms</t>
  </si>
  <si>
    <t>Temporary Locations</t>
  </si>
  <si>
    <t>Outlet Locations</t>
  </si>
  <si>
    <t>Mirror Shop in Shops</t>
  </si>
  <si>
    <t>90 by mid June</t>
  </si>
  <si>
    <t>Corporate Expense - OLD</t>
  </si>
  <si>
    <t>Lululemon (LULU)</t>
  </si>
  <si>
    <t>Summary Model</t>
  </si>
  <si>
    <t>$ millions except per share data, FY ending Jan</t>
  </si>
  <si>
    <t>Comparable Sales</t>
  </si>
  <si>
    <t>Comparable Store Sales ex-FX</t>
  </si>
  <si>
    <t>Comparable Direct Sales ex-FX</t>
  </si>
  <si>
    <t xml:space="preserve">-- </t>
  </si>
  <si>
    <t>Total Comparable Sales ex FX</t>
  </si>
  <si>
    <t>Income Statement</t>
  </si>
  <si>
    <t>ex-FX % Y/Y</t>
  </si>
  <si>
    <t xml:space="preserve">  % chg. Y/Y ex-FX</t>
  </si>
  <si>
    <t>Total Revenues</t>
  </si>
  <si>
    <t>margin chg. Y/Y bps</t>
  </si>
  <si>
    <t>Amortization &amp; Other</t>
  </si>
  <si>
    <t>Net Interest/Other</t>
  </si>
  <si>
    <t>Pre-Tax Income</t>
  </si>
  <si>
    <t>Income Taxes</t>
  </si>
  <si>
    <t>Tax Rate</t>
  </si>
  <si>
    <t>NCI</t>
  </si>
  <si>
    <t>EPS - Comparable</t>
  </si>
  <si>
    <t>Select Other Items</t>
  </si>
  <si>
    <t>Free Cash Flow</t>
  </si>
  <si>
    <t>Adj ROIC: PVOL</t>
  </si>
  <si>
    <t>Net Debt to EBITDA</t>
  </si>
  <si>
    <t>Adj Net Debt:EBITDAR: PVOL</t>
  </si>
  <si>
    <t>Inventory Growth</t>
  </si>
  <si>
    <t>Units: $mn, except per-share data; Source: company data, Goldman Sachs Global Investment Research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</si>
</sst>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#,##0.0\ ;\(#,##0.0\)"/>
    <numFmt numFmtId="178" formatCode="&quot;$&quot;#,##0.00_);[Red]\(&quot;$&quot;#,##0.00\)"/>
    <numFmt numFmtId="179" formatCode="&quot;$&quot;#,##0_);\(&quot;$&quot;#,##0\)"/>
    <numFmt numFmtId="180" formatCode="0.0_)"/>
    <numFmt numFmtId="181" formatCode="#,##0.000000\ ;[Red]\(#,##0.000000\)"/>
    <numFmt numFmtId="182" formatCode="\C&quot;$&quot;\ #,##0.00_);\C&quot;$&quot;\ \(#,##0.00\);\C&quot;$&quot;\ 0.00_)"/>
    <numFmt numFmtId="183" formatCode="#,##0.0_);[Red]\(#,##0.0\)"/>
    <numFmt numFmtId="184" formatCode="\ &quot;R$ &quot;#,##0.00_);\ \(&quot;R$ &quot;#,##0.00\)"/>
    <numFmt numFmtId="185" formatCode="&quot;$&quot;#,##0.0\ \ ;&quot;$&quot;\(#,##0.0\)\ ;&quot;$&quot;&quot; - &quot;\ \ \ \ ;@_)"/>
    <numFmt numFmtId="186" formatCode="#,##0.000"/>
    <numFmt numFmtId="187" formatCode="&quot;$&quot;#,##0.000\ ;\(&quot;$&quot;#,##0.000\)"/>
    <numFmt numFmtId="188" formatCode="_(&quot;$&quot;#,##0_)&quot;millions&quot;;\(&quot;$&quot;#,##0\)&quot; millions&quot;"/>
    <numFmt numFmtId="189" formatCode="m/d"/>
    <numFmt numFmtId="190" formatCode="&quot;YEAR&quot;\ General"/>
    <numFmt numFmtId="191" formatCode="0.00%;\(0.00\)%"/>
    <numFmt numFmtId="192" formatCode="&quot;$&quot;#,##0.00_)\ \ \ ;\(&quot;$&quot;#,##0.00\)\ \ \ "/>
    <numFmt numFmtId="193" formatCode="&quot;$&quot;#,##0.00&quot;*&quot;\ \ ;\(&quot;$&quot;#,##0.00\)&quot;*&quot;\ \ "/>
    <numFmt numFmtId="194" formatCode="&quot;$&quot;#,##0.00\A_)\ ;\(&quot;$&quot;#,##0.00\A\)\ \ "/>
    <numFmt numFmtId="195" formatCode="0.0%_);\(0.0%\)"/>
    <numFmt numFmtId="196" formatCode="#,##0_%_);\(#,##0\)_%;**;@_%_)"/>
    <numFmt numFmtId="197" formatCode=";;;"/>
    <numFmt numFmtId="198" formatCode="_(* #,##0.00_);_(* \(#,##0.00\);_(* &quot;-&quot;??_);_(@_)"/>
    <numFmt numFmtId="199" formatCode="#,##0.0000_);[Red]\(#,##0.0000\)"/>
    <numFmt numFmtId="200" formatCode="_(&quot;$&quot;* #,##0_);_(&quot;$&quot;* \(#,##0\);_(&quot;$&quot;* &quot;-&quot;_);_(@_)"/>
    <numFmt numFmtId="201" formatCode="0.0_)\%;\(0.0\)\%;0.0_)\%;@_)_%"/>
    <numFmt numFmtId="202" formatCode="#,##0.0_)_%;\(#,##0.0\)_%;0.0_)_%;@_)_%"/>
    <numFmt numFmtId="203" formatCode="&quot;$&quot;_(#,##0.00_);&quot;$&quot;\(#,##0.00\)"/>
    <numFmt numFmtId="204" formatCode="General_)"/>
    <numFmt numFmtId="205" formatCode="#,##0.0_);\(#,##0.0\);#,##0.0_);@_)"/>
    <numFmt numFmtId="206" formatCode="#,##0.0_);\(#,##0.0\)"/>
    <numFmt numFmtId="207" formatCode="0.000000"/>
    <numFmt numFmtId="208" formatCode="0.000"/>
    <numFmt numFmtId="209" formatCode="&quot;$&quot;_(#,##0.00_);&quot;$&quot;\(#,##0.00\);&quot;$&quot;_(0.00_);@_)"/>
    <numFmt numFmtId="210" formatCode="#,##0.0_)\x;\(#,##0.0\)\x"/>
    <numFmt numFmtId="211" formatCode="#,##0.0_)_x;\(#,##0.0\)_x"/>
    <numFmt numFmtId="212" formatCode="&quot;R$ &quot;_(#,##0.00_);&quot;R$ &quot;\(#,##0.00\)"/>
    <numFmt numFmtId="213" formatCode="#,##0.00_);\(#,##0.00\);0.00_);@_)"/>
    <numFmt numFmtId="214" formatCode="&quot;€&quot;_(#,##0.00_);&quot;€&quot;\(#,##0.00\);&quot;€&quot;_(0.00_);@_)"/>
    <numFmt numFmtId="215" formatCode="0.0_)\%;\(0.0\)\%"/>
    <numFmt numFmtId="216" formatCode="#,##0_)\x;\(#,##0\)\x;0_)\x;@_)_x"/>
    <numFmt numFmtId="217" formatCode="0.00_)"/>
    <numFmt numFmtId="218" formatCode="#,##0.0_)\x;\(#,##0.0\)\x;0.0_)\x;@_)_x"/>
    <numFmt numFmtId="219" formatCode="#,##0_)_x;\(#,##0\)_x;0_)_x;@_)_x"/>
    <numFmt numFmtId="220" formatCode="#,##0.0_)_x;\(#,##0.0\)_x;0.0_)_x;@_)_x"/>
    <numFmt numFmtId="221" formatCode="&quot;$&quot;#,##0.0_);[Red]\(&quot;$&quot;#,##0.0\)"/>
    <numFmt numFmtId="222" formatCode="#,##0.0_)_%;\(#,##0.0\)_%"/>
    <numFmt numFmtId="223" formatCode="#,##0.000_);\(#,##0.000\)"/>
    <numFmt numFmtId="224" formatCode="0.00\ ;\(0.00\)"/>
    <numFmt numFmtId="225" formatCode="_(* #,##0_);_(* \(#,##0\);_(* &quot;-&quot;??_);_(@_)"/>
    <numFmt numFmtId="226" formatCode="0.000_)"/>
    <numFmt numFmtId="227" formatCode="0.0"/>
    <numFmt numFmtId="228" formatCode="0.0%"/>
    <numFmt numFmtId="229" formatCode="_(* #,##0.0_);_(* \(#,##0.0\);_(* &quot;--- &quot;_)"/>
    <numFmt numFmtId="230" formatCode="m\-d\-yy"/>
    <numFmt numFmtId="231" formatCode="#,##0.0"/>
    <numFmt numFmtId="232" formatCode="0_)"/>
    <numFmt numFmtId="233" formatCode="General&quot;x Cash Flow&quot;"/>
    <numFmt numFmtId="234" formatCode="General&quot;x&quot;"/>
    <numFmt numFmtId="235" formatCode="#,##0&quot;x&quot;_);\(#,##0\)"/>
    <numFmt numFmtId="236" formatCode="#,##0_);[Red]\(#,##0\);&quot;-  &quot;"/>
    <numFmt numFmtId="237" formatCode="&quot;$&quot;\ #,##0.000\ \ \ \ ;&quot;$&quot;\ \(#,##0.000\)\ \ \ ;&quot;$&quot;\ &quot;-&quot;\ \ \ \ ;@_)"/>
    <numFmt numFmtId="238" formatCode="#,##0\ ;\(#,##0\)"/>
    <numFmt numFmtId="239" formatCode="\A\ &quot;$&quot;#,##0.00\ ;\(\A\ &quot;$&quot;#,##0.00\)"/>
    <numFmt numFmtId="240" formatCode="_(* #,##0.0_);_(* \(#,##0.0\);_(* &quot;-&quot;??_);_(@_)"/>
    <numFmt numFmtId="241" formatCode="#,##0.0000000000"/>
    <numFmt numFmtId="242" formatCode="#,##0.0&quot; x&quot;;\(&quot;$&quot;#,##0.00\)"/>
    <numFmt numFmtId="243" formatCode="0\A"/>
    <numFmt numFmtId="244" formatCode="#,##0;\(#,##0\)"/>
    <numFmt numFmtId="245" formatCode="#,##0,,,_);[Red]\(#,##0,,,\)"/>
    <numFmt numFmtId="246" formatCode="#,##0.0;[Red]\(#,##0.0\)"/>
    <numFmt numFmtId="247" formatCode="0.0_);\(0.0\)"/>
    <numFmt numFmtId="248" formatCode="0.0%;\(0.0%\)"/>
    <numFmt numFmtId="249" formatCode="#,##0.00\p;\(#,##0.00\p\)"/>
    <numFmt numFmtId="250" formatCode="#,##0.000_);[Red]\(#,##0.000\)"/>
    <numFmt numFmtId="251" formatCode="#,##0.0%_);\(#,##0.0%\);#,##0.0%_);@_%_)"/>
    <numFmt numFmtId="252" formatCode="#,##0\ \b\p;\(#,##0\)\b\p;0\ \ \ "/>
    <numFmt numFmtId="253" formatCode="&quot;R$ &quot;#,##0.0_)_);\(&quot;R$ &quot;#,##0.0\)_);&quot;R$ &quot;#,##0.0_)_);@_%_)"/>
    <numFmt numFmtId="254" formatCode="&quot;•&quot;\ \ @"/>
    <numFmt numFmtId="255" formatCode="0.000000000"/>
    <numFmt numFmtId="256" formatCode="#,##0.00000;[Red]\(#,##0.00000\)"/>
    <numFmt numFmtId="257" formatCode="#,##0.0000;\(#,##0.0000\)"/>
    <numFmt numFmtId="258" formatCode="#,##0_%_);\(#,##0\)_%;#,##0_%_);@_%_)"/>
    <numFmt numFmtId="259" formatCode="#,##0.0_)\ &quot;Tcfe&quot;;[Red]\(#,##0.0\)\ &quot;Tcfe&quot;"/>
    <numFmt numFmtId="260" formatCode="#,##0.00_%_);\(#,##0.00\)_%;**;@_%_)"/>
    <numFmt numFmtId="261" formatCode="_(* #,##0_);_(* \(#,##0\);_(* &quot;-&quot;?_);_(@_)"/>
    <numFmt numFmtId="262" formatCode="#,##0.000_%_);\(#,##0.000\)_%;**;@_%_)"/>
    <numFmt numFmtId="263" formatCode="_-* #,##0.00_-;\-* #,##0.00_-;_-* &quot;-&quot;??_-;_-@_-"/>
    <numFmt numFmtId="264" formatCode="[$-416]mmm\-yy;@"/>
    <numFmt numFmtId="265" formatCode="_(* #,##0,_);_(* \(#,##0,\)"/>
    <numFmt numFmtId="266" formatCode="#,##0.0\x"/>
    <numFmt numFmtId="267" formatCode="#,##0.0___);\(#,##0.0__\)"/>
    <numFmt numFmtId="268" formatCode="#,##0.00_)\ \ ;\(#,##0.00\)\ \ "/>
    <numFmt numFmtId="269" formatCode="#,##0_)\ \-\ ;[Red]\(#,##0\)\ \-"/>
    <numFmt numFmtId="270" formatCode="#,##0.0\A"/>
    <numFmt numFmtId="271" formatCode="#,##0.0\x_);\(#,##0.0\x\);#,##0.0\x_);@_)"/>
    <numFmt numFmtId="272" formatCode="#,##0.0_%_);\(#,##0.0\)_%;#,##0.0_%_);@_%_)"/>
    <numFmt numFmtId="273" formatCode="#,##0.0\p"/>
    <numFmt numFmtId="274" formatCode="0.0\x\ "/>
    <numFmt numFmtId="275" formatCode="#,##0;[Red]\(#,##0\);&quot;-&quot;"/>
    <numFmt numFmtId="276" formatCode="#,##0.0;\(#,##0.0\);&quot;-&quot;"/>
    <numFmt numFmtId="277" formatCode="#,##0.00;\(#,##0.00\);&quot;-&quot;"/>
    <numFmt numFmtId="278" formatCode="#,##0.000;\(#,##0.000\);&quot;-&quot;"/>
    <numFmt numFmtId="279" formatCode="&quot;R$ &quot;#,##0_);[Red]\(&quot;R$ &quot;#,##0\)"/>
    <numFmt numFmtId="280" formatCode="0\p"/>
    <numFmt numFmtId="281" formatCode="_(&quot;R$ &quot;* #,##0.00_);_(&quot;R$ &quot;* \(#,##0.00\)"/>
    <numFmt numFmtId="282" formatCode="m/d/yy_)"/>
    <numFmt numFmtId="283" formatCode="&quot;R$ &quot;#,##0.00_);\(&quot;R$ &quot;#,##0.00\)"/>
    <numFmt numFmtId="284" formatCode="&quot;$&quot;#,##0.000_);[Red]\(&quot;$&quot;#,##0.000\)"/>
    <numFmt numFmtId="285" formatCode="&quot;R$ &quot;#,##0.0_);[Red]\(&quot;R$ &quot;#,##0.0\)"/>
    <numFmt numFmtId="286" formatCode="0.00_);\(0.00\);0.00"/>
    <numFmt numFmtId="287" formatCode="0.0%_);\(0.0%\);0.0%_);@_)"/>
    <numFmt numFmtId="288" formatCode="&quot;$&quot;#,##0.00_%_);\(&quot;$&quot;#,##0.00\)_%;**;@_%_)"/>
    <numFmt numFmtId="289" formatCode="_(* #,##0_);_(* \(#,##0\);_(* &quot;----&quot;_);_(@_)"/>
    <numFmt numFmtId="290" formatCode="&quot;$&quot;#,##0.0;\(&quot;$&quot;#,##0.0\)"/>
    <numFmt numFmtId="291" formatCode="&quot;$&quot;#,##0.0_);\(&quot;$&quot;#,##0.0\)"/>
    <numFmt numFmtId="292" formatCode="_(&quot;$&quot;* #,##0.00_);_(&quot;$&quot;* \(#,##0.00\);_(&quot;$&quot;* &quot;-&quot;??_);_(@_)"/>
    <numFmt numFmtId="293" formatCode="&quot;$&quot;#,##0.000_);\(&quot;$&quot;#,##0.000\)"/>
    <numFmt numFmtId="294" formatCode="&quot;$&quot;#,##0;[Red]\ &quot;$&quot;\(#,##0\);&quot;-&quot;"/>
    <numFmt numFmtId="295" formatCode="&quot;$&quot;#,##0.0;\(&quot;$&quot;#,##0.0\);&quot;-&quot;"/>
    <numFmt numFmtId="296" formatCode="&quot;$&quot;#,##0.00;\(&quot;$&quot;#,##0.00\);&quot;-&quot;"/>
    <numFmt numFmtId="297" formatCode="&quot;$&quot;#,##0.00_)\ \ ;\(&quot;$&quot;#,##0.00\)\ \ "/>
    <numFmt numFmtId="298" formatCode="&quot;$&quot;#,##0.00_);\(&quot;$&quot;#,##0.00\)"/>
    <numFmt numFmtId="299" formatCode="@\ \ \ \ \ "/>
    <numFmt numFmtId="300" formatCode="_(* #,##0.00_);_(* \(#,##0.00\);_(* &quot;-----&quot;_);_(@_)"/>
    <numFmt numFmtId="301" formatCode="yyyy"/>
    <numFmt numFmtId="302" formatCode="#,##0.0&quot; days&quot;;[Red]\(#,##0.0&quot; days&quot;\);&quot;-&quot;"/>
    <numFmt numFmtId="303" formatCode="\$0.00;\(\$0.00\)"/>
    <numFmt numFmtId="304" formatCode="&quot;$&quot;#,##0_);[Red]\(&quot;$&quot;#,##0\)"/>
    <numFmt numFmtId="305" formatCode="_(* #,##0.00_);_(* \(#,##0.00\);_(* &quot;---&quot;_);_(@_)"/>
    <numFmt numFmtId="306" formatCode="0&quot;E&quot;"/>
    <numFmt numFmtId="307" formatCode="&quot;$&quot;#,##0.00\A\ \ \ \ ;\(&quot;$&quot;#,##0.00\A\)\ \ \ \ "/>
    <numFmt numFmtId="308" formatCode="&quot;$&quot;#,##0.00&quot;E&quot;\ \ \ \ ;\(&quot;$&quot;#,##0.00&quot;E&quot;\)\ \ \ \ "/>
    <numFmt numFmtId="309" formatCode="#,##0.00\A\ \ \ \ ;\(#,##0.00\A\)\ \ \ \ "/>
    <numFmt numFmtId="310" formatCode="&quot;$&quot;#,##0.00&quot;A&quot;;[Red]\(&quot;$&quot;#,##0.00\)&quot;A&quot;"/>
    <numFmt numFmtId="311" formatCode="#,##0.00&quot;E&quot;\ \ \ \ ;\(#,##0.00&quot;E&quot;\)\ \ \ \ "/>
    <numFmt numFmtId="312" formatCode="&quot;$&quot;#,##0.00&quot;E&quot;;[Red]\(&quot;$&quot;#,##0.00\)&quot;E&quot;"/>
    <numFmt numFmtId="313" formatCode="_([$€-2]* #,##0.00_);_([$€-2]* \(#,##0.00\);_([$€-2]* &quot;-&quot;??_)"/>
    <numFmt numFmtId="314" formatCode="0.0&quot;  &quot;"/>
    <numFmt numFmtId="315" formatCode="\F\F\r\ \ #,##0.00_);\F\F\r\ \ \(#,##0.00\)"/>
    <numFmt numFmtId="316" formatCode="###0"/>
    <numFmt numFmtId="317" formatCode="&quot;$&quot;#,##0.00_)\ \ \ \ \ ;\(&quot;$&quot;#,##0.00\)\ \ \ \ \ "/>
    <numFmt numFmtId="318" formatCode="0%\ \ \ \ \ \ \ "/>
    <numFmt numFmtId="319" formatCode="_-* #,##0_-;\(#,##0\);_-* &quot;–&quot;_-;_-@_-"/>
    <numFmt numFmtId="320" formatCode="0.0%_);[Red]\(0.0%\)"/>
    <numFmt numFmtId="321" formatCode="0.00%;\(0.00%\)"/>
    <numFmt numFmtId="322" formatCode="_(* #,##0.0_);_(* \(#,##0.0\);_(* &quot;----&quot;_);_(@_)"/>
    <numFmt numFmtId="323" formatCode="#,##0;[Red]\(#,##0\)"/>
    <numFmt numFmtId="324" formatCode="&quot;$&quot;#,##0.0_%_);\(&quot;$&quot;#,##0.0\)_%"/>
    <numFmt numFmtId="325" formatCode="&quot;$&quot;#,##0.00_%_);\(&quot;$&quot;#,##0.00\)_%"/>
    <numFmt numFmtId="326" formatCode="[Blue]#,##0.00\ ;[Blue]\(#,##0.00\);[Blue]**"/>
    <numFmt numFmtId="327" formatCode="0.0\x_)_);&quot;NM    &quot;;0.0\x_)_)"/>
    <numFmt numFmtId="328" formatCode="&quot;$&quot;#,##0.0_)\ \ ;\(&quot;$&quot;#,##0.0\)\ \ "/>
    <numFmt numFmtId="329" formatCode="#,##0.00_);\(&quot;$&quot;#,##0.00\)"/>
    <numFmt numFmtId="330" formatCode="0.0\ \x\ \ \ \ ;&quot;NM      &quot;;\ 0.0\ \x\ \ \ \ "/>
    <numFmt numFmtId="331" formatCode="0.0%_)\ \ ;\(0.0%\)\ \ "/>
    <numFmt numFmtId="332" formatCode="0.0\ &quot;X&quot;"/>
    <numFmt numFmtId="333" formatCode="0.0\x"/>
    <numFmt numFmtId="334" formatCode="0.00_);\(0.00\);0.00_)"/>
    <numFmt numFmtId="335" formatCode="#,##0.00;;;[White]General"/>
    <numFmt numFmtId="336" formatCode="&quot;$&quot;#,##0\ &quot;MM&quot;;\(&quot;$&quot;#,##0.00\ &quot;MM&quot;\)"/>
    <numFmt numFmtId="337" formatCode="_(&quot;$&quot;* #,##0_)\ &quot;millions&quot;;_(&quot;$&quot;* \(#,##0\)&quot; millions&quot;"/>
    <numFmt numFmtId="338" formatCode="[Magenta]General"/>
    <numFmt numFmtId="339" formatCode="#,##0\ &quot;DM&quot;;\-#,##0\ &quot;DM&quot;"/>
    <numFmt numFmtId="340" formatCode="#,##0\ &quot;DM&quot;;[Red]\-#,##0\ &quot;DM&quot;"/>
    <numFmt numFmtId="341" formatCode="_-* #,##0\ _D_M_-;\-* #,##0\ _D_M_-;_-* &quot;-&quot;\ _D_M_-;_-@_-"/>
    <numFmt numFmtId="342" formatCode="_-* #,##0.00\ _D_M_-;\-* #,##0.00\ _D_M_-;_-* &quot;-&quot;??\ _D_M_-;_-@_-"/>
    <numFmt numFmtId="343" formatCode="_-* #,##0\ _F_-;\-* #,##0\ _F_-;_-* &quot;-&quot;\ _F_-;_-@_-"/>
    <numFmt numFmtId="344" formatCode="_-* #,##0.00\ _F_-;\-* #,##0.00\ _F_-;_-* &quot;-&quot;??\ _F_-;_-@_-"/>
    <numFmt numFmtId="345" formatCode="_(* #,##0\ &quot;(*)&quot;_);_(* \(#,##0\);_(* &quot;-&quot;??_);_(@_)"/>
    <numFmt numFmtId="346" formatCode="#,##0.0\x;[Red]\(#,##0.0\x\);&quot;-&quot;"/>
    <numFmt numFmtId="347" formatCode="_(* #,##0.00000_);_(* \(#,##0.00000\);_(* &quot;-&quot;??_);_(@_)"/>
    <numFmt numFmtId="348" formatCode="#,##0.0\);\(#,##0.0\)"/>
    <numFmt numFmtId="349" formatCode="#,##0.0___);\(#,##0.0\)__\)"/>
    <numFmt numFmtId="350" formatCode="#,##0.00;[Red]\(#,##0.00\)"/>
    <numFmt numFmtId="351" formatCode="0.0\x_);[Red]\(0.0\x\)"/>
    <numFmt numFmtId="352" formatCode="0.0\ "/>
    <numFmt numFmtId="353" formatCode="0.0%\ \ \ \ \ "/>
    <numFmt numFmtId="354" formatCode="#,##0.0%;\(#,##0.0%\)"/>
    <numFmt numFmtId="355" formatCode="#,##0.000%;[Red]\(#,##0.000%\);&quot;-&quot;"/>
    <numFmt numFmtId="356" formatCode="&quot;$&quot;0.0"/>
    <numFmt numFmtId="357" formatCode="&quot;£&quot;#,##0.00_);\(&quot;£&quot;#,##0.00\)"/>
    <numFmt numFmtId="358" formatCode="0.00\ \ \ \ "/>
    <numFmt numFmtId="359" formatCode="@\ "/>
    <numFmt numFmtId="360" formatCode="&quot;$&quot;@"/>
    <numFmt numFmtId="361" formatCode="&quot;$&quot;#\ ??/??"/>
    <numFmt numFmtId="362" formatCode="#,##0;\(#,##0\);&quot;–&quot;;@"/>
    <numFmt numFmtId="363" formatCode="_(&quot;CHF&quot;* #,##0.0_);_(&quot;CHF&quot;* \(#,##0.0\);_(&quot;CHF&quot;* &quot;-&quot;??_);_(@_)"/>
    <numFmt numFmtId="364" formatCode="#,##0.0_%_);\(#,##0.0\)_%"/>
    <numFmt numFmtId="365" formatCode="#,##0.000;[Red]\(#,##0.000\)"/>
    <numFmt numFmtId="366" formatCode="0.0\ \ \ ;\(0.0\)\ \ \ "/>
    <numFmt numFmtId="367" formatCode="0.0%;[Red]\-0.0%"/>
    <numFmt numFmtId="368" formatCode="&quot;$&quot;#,##0.00"/>
    <numFmt numFmtId="369" formatCode="\¥#,##0.00_);\(\¥#,##0.00\)"/>
    <numFmt numFmtId="370" formatCode="[$-409]mmm;@"/>
    <numFmt numFmtId="371" formatCode="0&quot;bp&quot;"/>
    <numFmt numFmtId="372" formatCode="0.0&quot;x&quot;"/>
    <numFmt numFmtId="373" formatCode="0.000%"/>
    <numFmt numFmtId="374" formatCode="0.0000"/>
    <numFmt numFmtId="375" formatCode="0.0&quot;pt&quot;"/>
    <numFmt numFmtId="376" formatCode="mmm"/>
    <numFmt numFmtId="377" formatCode="#,##0.0000"/>
  </numFmts>
  <fonts count="295">
    <font>
      <sz val="11"/>
      <color theme="1"/>
      <name val="宋体"/>
      <charset val="134"/>
      <scheme val="minor"/>
    </font>
    <font>
      <i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theme="0"/>
      <name val="Arial"/>
      <charset val="134"/>
    </font>
    <font>
      <sz val="10"/>
      <color theme="0"/>
      <name val="Arial"/>
      <charset val="134"/>
    </font>
    <font>
      <sz val="10"/>
      <color rgb="FFFF0000"/>
      <name val="Arial"/>
      <charset val="134"/>
    </font>
    <font>
      <b/>
      <i/>
      <sz val="10"/>
      <color theme="1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i/>
      <sz val="10"/>
      <name val="Arial"/>
      <charset val="134"/>
    </font>
    <font>
      <b/>
      <i/>
      <sz val="10"/>
      <name val="Arial"/>
      <charset val="134"/>
    </font>
    <font>
      <i/>
      <sz val="10"/>
      <color rgb="FFFF0000"/>
      <name val="Arial"/>
      <charset val="134"/>
    </font>
    <font>
      <b/>
      <i/>
      <sz val="10"/>
      <color rgb="FFFF0000"/>
      <name val="Arial"/>
      <charset val="134"/>
    </font>
    <font>
      <i/>
      <sz val="10"/>
      <color rgb="FF0000FF"/>
      <name val="Arial"/>
      <charset val="134"/>
    </font>
    <font>
      <sz val="10"/>
      <color rgb="FF0000FF"/>
      <name val="Arial"/>
      <charset val="134"/>
    </font>
    <font>
      <b/>
      <sz val="10"/>
      <color rgb="FF0000FF"/>
      <name val="Arial"/>
      <charset val="134"/>
    </font>
    <font>
      <b/>
      <u/>
      <sz val="10"/>
      <color theme="1"/>
      <name val="Arial"/>
      <charset val="134"/>
    </font>
    <font>
      <b/>
      <i/>
      <sz val="10"/>
      <color rgb="FF0000FF"/>
      <name val="Arial"/>
      <charset val="134"/>
    </font>
    <font>
      <b/>
      <sz val="10"/>
      <color rgb="FF000000"/>
      <name val="Arial"/>
      <charset val="134"/>
    </font>
    <font>
      <i/>
      <sz val="10"/>
      <color rgb="FF0070C0"/>
      <name val="Arial"/>
      <charset val="134"/>
    </font>
    <font>
      <sz val="10"/>
      <color theme="4"/>
      <name val="Arial"/>
      <charset val="134"/>
    </font>
    <font>
      <sz val="10"/>
      <color rgb="FF000000"/>
      <name val="Arial"/>
      <charset val="134"/>
    </font>
    <font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u/>
      <sz val="10"/>
      <color theme="0"/>
      <name val="Arial"/>
      <charset val="134"/>
    </font>
    <font>
      <b/>
      <sz val="30"/>
      <color theme="0"/>
      <name val="Arial"/>
      <charset val="134"/>
    </font>
    <font>
      <b/>
      <sz val="14"/>
      <color theme="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10"/>
      <name val="Arial"/>
      <charset val="134"/>
    </font>
    <font>
      <sz val="8"/>
      <color indexed="12"/>
      <name val="Arial"/>
      <charset val="134"/>
    </font>
    <font>
      <sz val="10"/>
      <color indexed="8"/>
      <name val="MS Sans Serif"/>
      <charset val="134"/>
    </font>
    <font>
      <sz val="10"/>
      <name val="Courier"/>
      <charset val="134"/>
    </font>
    <font>
      <sz val="9"/>
      <name val="Arial"/>
      <charset val="134"/>
    </font>
    <font>
      <sz val="8"/>
      <name val="Tms Rmn"/>
      <charset val="134"/>
    </font>
    <font>
      <sz val="10"/>
      <name val="GillSans"/>
      <charset val="134"/>
    </font>
    <font>
      <sz val="8"/>
      <name val="Times New Roman"/>
      <charset val="134"/>
    </font>
    <font>
      <sz val="8"/>
      <name val="Times"/>
      <charset val="134"/>
    </font>
    <font>
      <sz val="12"/>
      <name val="Arial MT"/>
      <charset val="134"/>
    </font>
    <font>
      <sz val="8"/>
      <name val="Helv"/>
      <charset val="134"/>
    </font>
    <font>
      <sz val="8"/>
      <name val="GS TheSans"/>
      <charset val="134"/>
    </font>
    <font>
      <b/>
      <sz val="8"/>
      <name val="GS TheSans"/>
      <charset val="134"/>
    </font>
    <font>
      <sz val="8"/>
      <color indexed="49"/>
      <name val="Times New Roman"/>
      <charset val="134"/>
    </font>
    <font>
      <sz val="10"/>
      <name val="Times New Roman"/>
      <charset val="134"/>
    </font>
    <font>
      <sz val="12"/>
      <name val="MS Sans Serif"/>
      <charset val="134"/>
    </font>
    <font>
      <sz val="14"/>
      <name val="Terminal"/>
      <charset val="255"/>
    </font>
    <font>
      <sz val="12"/>
      <name val="???"/>
      <charset val="129"/>
    </font>
    <font>
      <sz val="11"/>
      <name val="??"/>
      <charset val="134"/>
    </font>
    <font>
      <u/>
      <sz val="8.4"/>
      <color indexed="12"/>
      <name val="Arial"/>
      <charset val="134"/>
    </font>
    <font>
      <b/>
      <sz val="9"/>
      <name val="Arial"/>
      <charset val="134"/>
    </font>
    <font>
      <sz val="10"/>
      <name val="GS TheSans"/>
      <charset val="134"/>
    </font>
    <font>
      <sz val="8"/>
      <name val="Tahoma"/>
      <charset val="134"/>
    </font>
    <font>
      <b/>
      <sz val="10"/>
      <name val="MS Sans Serif"/>
      <charset val="134"/>
    </font>
    <font>
      <sz val="10"/>
      <name val="Helv"/>
      <charset val="134"/>
    </font>
    <font>
      <b/>
      <sz val="22"/>
      <color indexed="18"/>
      <name val="Arial"/>
      <charset val="134"/>
    </font>
    <font>
      <sz val="10"/>
      <name val="Helv"/>
      <charset val="134"/>
    </font>
    <font>
      <sz val="10"/>
      <name val="Helv"/>
      <charset val="204"/>
    </font>
    <font>
      <sz val="10"/>
      <name val="MS Sans Serif"/>
      <charset val="134"/>
    </font>
    <font>
      <b/>
      <sz val="14"/>
      <color indexed="18"/>
      <name val="Arial"/>
      <charset val="134"/>
    </font>
    <font>
      <sz val="9"/>
      <color indexed="8"/>
      <name val="Arial"/>
      <charset val="134"/>
    </font>
    <font>
      <b/>
      <sz val="10"/>
      <color indexed="18"/>
      <name val="Arial"/>
      <charset val="134"/>
    </font>
    <font>
      <b/>
      <u val="singleAccounting"/>
      <sz val="10"/>
      <color indexed="18"/>
      <name val="Arial"/>
      <charset val="134"/>
    </font>
    <font>
      <sz val="9"/>
      <name val="‚l‚r –¾’©"/>
      <charset val="128"/>
    </font>
    <font>
      <sz val="12"/>
      <name val="Times New Roman"/>
      <charset val="134"/>
    </font>
    <font>
      <sz val="11"/>
      <name val="‚l‚r ƒSƒVƒbƒN"/>
      <charset val="128"/>
    </font>
    <font>
      <sz val="10"/>
      <name val="Times"/>
      <charset val="134"/>
    </font>
    <font>
      <sz val="10"/>
      <color indexed="8"/>
      <name val="Palatino"/>
      <charset val="134"/>
    </font>
    <font>
      <sz val="8"/>
      <name val="Arial"/>
      <charset val="134"/>
    </font>
    <font>
      <sz val="14"/>
      <name val="Tms Rmn"/>
      <charset val="134"/>
    </font>
    <font>
      <sz val="11"/>
      <color indexed="8"/>
      <name val="Calibri"/>
      <charset val="134"/>
    </font>
    <font>
      <sz val="10"/>
      <color indexed="12"/>
      <name val="Times New Roman"/>
      <charset val="134"/>
    </font>
    <font>
      <sz val="7"/>
      <name val="Helvetica"/>
      <charset val="134"/>
    </font>
    <font>
      <sz val="11"/>
      <color theme="0"/>
      <name val="宋体"/>
      <charset val="134"/>
      <scheme val="minor"/>
    </font>
    <font>
      <sz val="11"/>
      <color indexed="9"/>
      <name val="Calibri"/>
      <charset val="134"/>
    </font>
    <font>
      <sz val="10"/>
      <color indexed="12"/>
      <name val="Arial"/>
      <charset val="134"/>
    </font>
    <font>
      <sz val="10"/>
      <name val="Palatino"/>
      <charset val="134"/>
    </font>
    <font>
      <sz val="11"/>
      <name val="Arial"/>
      <charset val="134"/>
    </font>
    <font>
      <sz val="9"/>
      <name val="Times New Roman"/>
      <charset val="134"/>
    </font>
    <font>
      <i/>
      <sz val="8"/>
      <color indexed="16"/>
      <name val="Arial"/>
      <charset val="134"/>
    </font>
    <font>
      <i/>
      <sz val="8"/>
      <color indexed="54"/>
      <name val="Arial"/>
      <charset val="134"/>
    </font>
    <font>
      <i/>
      <sz val="9"/>
      <color indexed="16"/>
      <name val="Arial"/>
      <charset val="134"/>
    </font>
    <font>
      <b/>
      <sz val="11"/>
      <name val="Arial"/>
      <charset val="134"/>
    </font>
    <font>
      <sz val="8"/>
      <name val="Palatino"/>
      <charset val="134"/>
    </font>
    <font>
      <sz val="9"/>
      <color indexed="12"/>
      <name val="Times New Roman"/>
      <charset val="134"/>
    </font>
    <font>
      <sz val="11"/>
      <name val="Tms Rmn"/>
      <charset val="134"/>
    </font>
    <font>
      <sz val="9"/>
      <color indexed="8"/>
      <name val="Times New Roman"/>
      <charset val="134"/>
    </font>
    <font>
      <b/>
      <sz val="10"/>
      <color indexed="8"/>
      <name val="Times New Roman"/>
      <charset val="134"/>
    </font>
    <font>
      <b/>
      <sz val="9"/>
      <color indexed="8"/>
      <name val="Helvetica 65"/>
      <charset val="134"/>
    </font>
    <font>
      <sz val="7"/>
      <color indexed="8"/>
      <name val="Helvetica 45"/>
      <charset val="134"/>
    </font>
    <font>
      <sz val="7"/>
      <color indexed="8"/>
      <name val="Helvetica 65"/>
      <charset val="134"/>
    </font>
    <font>
      <sz val="6"/>
      <color indexed="8"/>
      <name val="Helvetica 65"/>
      <charset val="134"/>
    </font>
    <font>
      <sz val="8"/>
      <name val="Helvetica"/>
      <charset val="134"/>
    </font>
    <font>
      <sz val="8"/>
      <name val="Arial MT"/>
      <charset val="134"/>
    </font>
    <font>
      <sz val="11"/>
      <name val="Times New Roman"/>
      <charset val="134"/>
    </font>
    <font>
      <b/>
      <sz val="12"/>
      <name val="Tms Rmn"/>
      <charset val="134"/>
    </font>
    <font>
      <sz val="12"/>
      <name val="Arial"/>
      <charset val="134"/>
    </font>
    <font>
      <sz val="10"/>
      <color indexed="8"/>
      <name val="Times New Roman"/>
      <charset val="134"/>
    </font>
    <font>
      <sz val="7"/>
      <name val="Palatino"/>
      <charset val="134"/>
    </font>
    <font>
      <sz val="7"/>
      <name val="Ariel"/>
      <charset val="134"/>
    </font>
    <font>
      <sz val="11"/>
      <color rgb="FF9C0006"/>
      <name val="宋体"/>
      <charset val="134"/>
      <scheme val="minor"/>
    </font>
    <font>
      <sz val="11"/>
      <color indexed="36"/>
      <name val="Calibri"/>
      <charset val="134"/>
    </font>
    <font>
      <sz val="8"/>
      <color indexed="13"/>
      <name val="Arial"/>
      <charset val="134"/>
    </font>
    <font>
      <sz val="10"/>
      <name val="Geneva"/>
      <charset val="134"/>
    </font>
    <font>
      <sz val="8"/>
      <name val="Tms Rmn"/>
      <charset val="134"/>
    </font>
    <font>
      <sz val="9"/>
      <name val="Arial"/>
      <charset val="177"/>
    </font>
    <font>
      <b/>
      <sz val="8"/>
      <name val="Times New Roman"/>
      <charset val="134"/>
    </font>
    <font>
      <b/>
      <sz val="8"/>
      <color indexed="8"/>
      <name val="Times New Roman"/>
      <charset val="134"/>
    </font>
    <font>
      <strike/>
      <sz val="8"/>
      <name val="Arial"/>
      <charset val="134"/>
    </font>
    <font>
      <sz val="8"/>
      <color indexed="8"/>
      <name val="Arial"/>
      <charset val="134"/>
    </font>
    <font>
      <sz val="9"/>
      <color indexed="9"/>
      <name val="Times New Roman"/>
      <charset val="134"/>
    </font>
    <font>
      <sz val="8"/>
      <color indexed="12"/>
      <name val="Tms Rmn"/>
      <charset val="134"/>
    </font>
    <font>
      <b/>
      <sz val="8"/>
      <color indexed="12"/>
      <name val="Times New Roman"/>
      <charset val="134"/>
    </font>
    <font>
      <b/>
      <sz val="10"/>
      <color indexed="12"/>
      <name val="Arial"/>
      <charset val="134"/>
    </font>
    <font>
      <b/>
      <sz val="10"/>
      <color indexed="9"/>
      <name val="Arial"/>
      <charset val="134"/>
    </font>
    <font>
      <sz val="8"/>
      <color indexed="12"/>
      <name val="Helvetica"/>
      <charset val="134"/>
    </font>
    <font>
      <sz val="8"/>
      <color indexed="12"/>
      <name val="Arial MT"/>
      <charset val="134"/>
    </font>
    <font>
      <b/>
      <sz val="12"/>
      <name val="Times New Roman"/>
      <charset val="134"/>
    </font>
    <font>
      <sz val="8"/>
      <name val="SwitzerlandLight"/>
      <charset val="134"/>
    </font>
    <font>
      <b/>
      <sz val="8"/>
      <color indexed="8"/>
      <name val="Arial"/>
      <charset val="134"/>
    </font>
    <font>
      <sz val="7"/>
      <name val="Times New Roman"/>
      <charset val="134"/>
    </font>
    <font>
      <sz val="11"/>
      <color indexed="17"/>
      <name val="Calibri"/>
      <charset val="134"/>
    </font>
    <font>
      <sz val="10"/>
      <color rgb="FF006100"/>
      <name val="Arial"/>
      <charset val="134"/>
    </font>
    <font>
      <sz val="10"/>
      <color indexed="10"/>
      <name val="Times New Roman"/>
      <charset val="134"/>
    </font>
    <font>
      <sz val="8"/>
      <color indexed="12"/>
      <name val="Times New Roman"/>
      <charset val="134"/>
    </font>
    <font>
      <b/>
      <sz val="9"/>
      <name val="Times New Roman"/>
      <charset val="134"/>
    </font>
    <font>
      <b/>
      <i/>
      <sz val="12"/>
      <name val="Times New Roman"/>
      <charset val="134"/>
    </font>
    <font>
      <i/>
      <sz val="10"/>
      <name val="Tms Rmn"/>
      <charset val="134"/>
    </font>
    <font>
      <u val="singleAccounting"/>
      <sz val="10"/>
      <name val="Arial"/>
      <charset val="134"/>
    </font>
    <font>
      <b/>
      <i/>
      <sz val="9"/>
      <name val="Arial"/>
      <charset val="134"/>
    </font>
    <font>
      <b/>
      <sz val="8"/>
      <name val="TimesNewRomanPS"/>
      <charset val="134"/>
    </font>
    <font>
      <sz val="12"/>
      <color indexed="24"/>
      <name val="Arial"/>
      <charset val="134"/>
    </font>
    <font>
      <sz val="14"/>
      <color indexed="24"/>
      <name val="Arial"/>
      <charset val="134"/>
    </font>
    <font>
      <b/>
      <sz val="11"/>
      <color rgb="FFFA7D00"/>
      <name val="宋体"/>
      <charset val="134"/>
      <scheme val="minor"/>
    </font>
    <font>
      <b/>
      <sz val="11"/>
      <color indexed="43"/>
      <name val="Calibri"/>
      <charset val="134"/>
    </font>
    <font>
      <b/>
      <sz val="11"/>
      <color indexed="52"/>
      <name val="Calibri"/>
      <charset val="134"/>
    </font>
    <font>
      <b/>
      <sz val="10"/>
      <color rgb="FFFA7D00"/>
      <name val="Arial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sz val="10"/>
      <color rgb="FFFA7D00"/>
      <name val="Arial"/>
      <charset val="134"/>
    </font>
    <font>
      <sz val="10"/>
      <color indexed="18"/>
      <name val="Times New Roman"/>
      <charset val="134"/>
    </font>
    <font>
      <b/>
      <sz val="11"/>
      <color theme="0"/>
      <name val="宋体"/>
      <charset val="134"/>
      <scheme val="minor"/>
    </font>
    <font>
      <sz val="8"/>
      <color indexed="8"/>
      <name val="Times New Roman"/>
      <charset val="134"/>
    </font>
    <font>
      <b/>
      <sz val="14"/>
      <name val="CG Times (WN)"/>
      <charset val="134"/>
    </font>
    <font>
      <b/>
      <i/>
      <sz val="8"/>
      <name val="Arial"/>
      <charset val="134"/>
    </font>
    <font>
      <sz val="10"/>
      <name val="Courier New"/>
      <charset val="134"/>
    </font>
    <font>
      <b/>
      <sz val="10"/>
      <name val="Bookman"/>
      <charset val="134"/>
    </font>
    <font>
      <b/>
      <sz val="7"/>
      <name val="TarzanaNarrow"/>
      <charset val="134"/>
    </font>
    <font>
      <sz val="7"/>
      <name val="TarzanaNarrow"/>
      <charset val="134"/>
    </font>
    <font>
      <b/>
      <sz val="8"/>
      <name val="Book Antiqua"/>
      <charset val="134"/>
    </font>
    <font>
      <b/>
      <sz val="8"/>
      <name val="GillSans"/>
      <charset val="134"/>
    </font>
    <font>
      <sz val="8"/>
      <color indexed="8"/>
      <name val="Arial MT"/>
      <charset val="134"/>
    </font>
    <font>
      <b/>
      <sz val="8"/>
      <name val="Arial"/>
      <charset val="134"/>
    </font>
    <font>
      <b/>
      <u/>
      <sz val="8"/>
      <name val="Arial"/>
      <charset val="134"/>
    </font>
    <font>
      <sz val="10"/>
      <color indexed="24"/>
      <name val="Arial"/>
      <charset val="134"/>
    </font>
    <font>
      <sz val="11"/>
      <name val="Tms Rmn"/>
      <charset val="134"/>
    </font>
    <font>
      <sz val="8"/>
      <color indexed="12"/>
      <name val="Helv"/>
      <charset val="134"/>
    </font>
    <font>
      <b/>
      <sz val="11"/>
      <name val="Book Antiqua"/>
      <charset val="134"/>
    </font>
    <font>
      <sz val="10"/>
      <color theme="1"/>
      <name val="Univers LT Std 45 Light"/>
      <charset val="134"/>
    </font>
    <font>
      <sz val="9"/>
      <name val="Helvetica"/>
      <charset val="134"/>
    </font>
    <font>
      <sz val="10"/>
      <name val="Arial Narrow"/>
      <charset val="134"/>
    </font>
    <font>
      <sz val="10"/>
      <color indexed="8"/>
      <name val="Univers LT Std 45 Light"/>
      <charset val="134"/>
    </font>
    <font>
      <sz val="9"/>
      <name val="Helv"/>
      <charset val="134"/>
    </font>
    <font>
      <sz val="8.5"/>
      <name val="Arial Narrow"/>
      <charset val="134"/>
    </font>
    <font>
      <sz val="8"/>
      <color indexed="12"/>
      <name val="Arial Narrow"/>
      <charset val="134"/>
    </font>
    <font>
      <sz val="8.5"/>
      <color indexed="49"/>
      <name val="Arial Narrow"/>
      <charset val="134"/>
    </font>
    <font>
      <sz val="10"/>
      <name val="BERNHARD"/>
      <charset val="134"/>
    </font>
    <font>
      <b/>
      <sz val="8"/>
      <name val="Helvetica"/>
      <charset val="134"/>
    </font>
    <font>
      <u/>
      <sz val="8"/>
      <name val="Times New Roman"/>
      <charset val="134"/>
    </font>
    <font>
      <i/>
      <sz val="9"/>
      <name val="MS Sans Serif"/>
      <charset val="134"/>
    </font>
    <font>
      <sz val="24"/>
      <name val="MS Sans Serif"/>
      <charset val="134"/>
    </font>
    <font>
      <b/>
      <sz val="24"/>
      <name val="Times New Roman"/>
      <charset val="134"/>
    </font>
    <font>
      <b/>
      <sz val="11"/>
      <name val="Times New Roman"/>
      <charset val="134"/>
    </font>
    <font>
      <b/>
      <sz val="14"/>
      <name val="Book Antiqua"/>
      <charset val="134"/>
    </font>
    <font>
      <b/>
      <sz val="9"/>
      <name val="CG Times"/>
      <charset val="134"/>
    </font>
    <font>
      <sz val="14"/>
      <name val="Palatino"/>
      <charset val="134"/>
    </font>
    <font>
      <sz val="16"/>
      <name val="Palatino"/>
      <charset val="134"/>
    </font>
    <font>
      <sz val="32"/>
      <name val="Helvetica-Black"/>
      <charset val="134"/>
    </font>
    <font>
      <b/>
      <sz val="9"/>
      <name val="Univers 47 CondensedLight"/>
      <charset val="134"/>
    </font>
    <font>
      <sz val="11"/>
      <color indexed="12"/>
      <name val="Book Antiqua"/>
      <charset val="134"/>
    </font>
    <font>
      <sz val="8"/>
      <color indexed="16"/>
      <name val="Palatino"/>
      <charset val="134"/>
    </font>
    <font>
      <b/>
      <i/>
      <u/>
      <sz val="8.5"/>
      <color indexed="12"/>
      <name val="Arial Narrow"/>
      <charset val="134"/>
    </font>
    <font>
      <sz val="8.5"/>
      <color indexed="12"/>
      <name val="Arial Narrow"/>
      <charset val="134"/>
    </font>
    <font>
      <b/>
      <sz val="8.5"/>
      <name val="Arial Narrow"/>
      <charset val="134"/>
    </font>
    <font>
      <sz val="10"/>
      <name val="System"/>
      <charset val="134"/>
    </font>
    <font>
      <sz val="8"/>
      <name val="Univers 47 CondensedLight"/>
      <charset val="134"/>
    </font>
    <font>
      <b/>
      <sz val="7.5"/>
      <color indexed="8"/>
      <name val="Arial"/>
      <charset val="134"/>
    </font>
    <font>
      <sz val="8"/>
      <color indexed="18"/>
      <name val="Times New Roman"/>
      <charset val="134"/>
    </font>
    <font>
      <b/>
      <i/>
      <strike/>
      <sz val="12"/>
      <color indexed="48"/>
      <name val="Arial"/>
      <charset val="134"/>
    </font>
    <font>
      <sz val="8"/>
      <color indexed="9"/>
      <name val="Arial"/>
      <charset val="134"/>
    </font>
    <font>
      <b/>
      <u/>
      <sz val="7"/>
      <name val="Helvetica"/>
      <charset val="134"/>
    </font>
    <font>
      <b/>
      <sz val="10"/>
      <name val="Helv"/>
      <charset val="134"/>
    </font>
    <font>
      <sz val="10"/>
      <name val="TarzanaNarrow"/>
      <charset val="134"/>
    </font>
    <font>
      <sz val="8"/>
      <color indexed="14"/>
      <name val="Arial Narrow"/>
      <charset val="134"/>
    </font>
    <font>
      <i/>
      <strike/>
      <sz val="12"/>
      <color indexed="40"/>
      <name val="Arial"/>
      <charset val="134"/>
    </font>
    <font>
      <b/>
      <sz val="9.5"/>
      <color indexed="10"/>
      <name val="MS Sans Serif"/>
      <charset val="134"/>
    </font>
    <font>
      <sz val="10"/>
      <name val="Book Antiqua"/>
      <charset val="134"/>
    </font>
    <font>
      <sz val="6"/>
      <color indexed="23"/>
      <name val="Helvetica-Black"/>
      <charset val="134"/>
    </font>
    <font>
      <sz val="9.5"/>
      <color indexed="23"/>
      <name val="Helvetica-Black"/>
      <charset val="134"/>
    </font>
    <font>
      <sz val="7"/>
      <name val="Arial"/>
      <charset val="134"/>
    </font>
    <font>
      <b/>
      <sz val="8.5"/>
      <color indexed="17"/>
      <name val="Arial"/>
      <charset val="134"/>
    </font>
    <font>
      <i/>
      <sz val="8"/>
      <color indexed="17"/>
      <name val="Times New Roman"/>
      <charset val="134"/>
    </font>
    <font>
      <sz val="8"/>
      <color indexed="21"/>
      <name val="Arial"/>
      <charset val="134"/>
    </font>
    <font>
      <b/>
      <sz val="7"/>
      <color indexed="17"/>
      <name val="Arial"/>
      <charset val="134"/>
    </font>
    <font>
      <sz val="8.5"/>
      <color indexed="8"/>
      <name val="Arial"/>
      <charset val="134"/>
    </font>
    <font>
      <sz val="6"/>
      <name val="Palatino"/>
      <charset val="134"/>
    </font>
    <font>
      <sz val="6"/>
      <color indexed="12"/>
      <name val="Palatino"/>
      <charset val="134"/>
    </font>
    <font>
      <b/>
      <sz val="12"/>
      <name val="Arial"/>
      <charset val="134"/>
    </font>
    <font>
      <b/>
      <sz val="8"/>
      <name val="Palatino"/>
      <charset val="134"/>
    </font>
    <font>
      <sz val="10"/>
      <name val="Helvetica-Black"/>
      <charset val="134"/>
    </font>
    <font>
      <sz val="28"/>
      <name val="Helvetica-Black"/>
      <charset val="134"/>
    </font>
    <font>
      <sz val="18"/>
      <name val="Palatino"/>
      <charset val="134"/>
    </font>
    <font>
      <i/>
      <sz val="14"/>
      <name val="Palatino"/>
      <charset val="134"/>
    </font>
    <font>
      <b/>
      <sz val="8"/>
      <name val="MS Sans Serif"/>
      <charset val="134"/>
    </font>
    <font>
      <u/>
      <sz val="10"/>
      <color indexed="12"/>
      <name val="Arial"/>
      <charset val="134"/>
    </font>
    <font>
      <sz val="8"/>
      <color indexed="12"/>
      <name val="Palatino"/>
      <charset val="134"/>
    </font>
    <font>
      <i/>
      <sz val="8"/>
      <name val="Tms Rmn"/>
      <charset val="134"/>
    </font>
    <font>
      <b/>
      <sz val="10"/>
      <name val="Palatino"/>
      <charset val="134"/>
    </font>
    <font>
      <b/>
      <sz val="14"/>
      <name val="Arial"/>
      <charset val="134"/>
    </font>
    <font>
      <sz val="8"/>
      <color indexed="10"/>
      <name val="Times New Roman"/>
      <charset val="134"/>
    </font>
    <font>
      <sz val="8"/>
      <name val="Book Antiqua"/>
      <charset val="134"/>
    </font>
    <font>
      <i/>
      <sz val="7"/>
      <name val="Book Antiqua"/>
      <charset val="134"/>
    </font>
    <font>
      <sz val="10"/>
      <name val="Arabic Transparent"/>
      <charset val="178"/>
    </font>
    <font>
      <b/>
      <sz val="8"/>
      <color indexed="12"/>
      <name val="Arial Narrow"/>
      <charset val="134"/>
    </font>
    <font>
      <b/>
      <i/>
      <sz val="16"/>
      <name val="Helv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11"/>
      <color theme="1"/>
      <name val="Arial"/>
      <charset val="134"/>
    </font>
    <font>
      <b/>
      <sz val="9"/>
      <color indexed="8"/>
      <name val="Helvetica 65"/>
      <charset val="134"/>
    </font>
    <font>
      <sz val="9"/>
      <color indexed="8"/>
      <name val="Helvetica 45"/>
      <charset val="134"/>
    </font>
    <font>
      <b/>
      <sz val="8"/>
      <color indexed="8"/>
      <name val="Helvetica 65"/>
      <charset val="134"/>
    </font>
    <font>
      <sz val="8"/>
      <name val="Helvetica 65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4"/>
      <name val="Times New Roman"/>
      <charset val="134"/>
    </font>
    <font>
      <sz val="10"/>
      <color indexed="16"/>
      <name val="Helvetica-Black"/>
      <charset val="134"/>
    </font>
    <font>
      <sz val="9"/>
      <color theme="1"/>
      <name val="Times New Roman"/>
      <charset val="134"/>
    </font>
    <font>
      <b/>
      <sz val="8"/>
      <name val="Arial Narrow"/>
      <charset val="134"/>
    </font>
    <font>
      <sz val="8"/>
      <name val="Helv"/>
      <charset val="134"/>
    </font>
    <font>
      <u/>
      <sz val="10"/>
      <name val="GillSans"/>
      <charset val="134"/>
    </font>
    <font>
      <sz val="8"/>
      <name val="Wingdings"/>
      <charset val="2"/>
    </font>
    <font>
      <sz val="12"/>
      <name val="Helvetica"/>
      <charset val="134"/>
    </font>
    <font>
      <sz val="14"/>
      <name val="MS Sans Serif"/>
      <charset val="134"/>
    </font>
    <font>
      <b/>
      <sz val="14"/>
      <name val="Bookman"/>
      <charset val="134"/>
    </font>
    <font>
      <i/>
      <sz val="10"/>
      <name val="Times New Roman"/>
      <charset val="134"/>
    </font>
    <font>
      <sz val="8"/>
      <name val="MS Sans Serif"/>
      <charset val="134"/>
    </font>
    <font>
      <sz val="10"/>
      <name val="Helvetica"/>
      <charset val="134"/>
    </font>
    <font>
      <sz val="8"/>
      <color indexed="39"/>
      <name val="Arial"/>
      <charset val="134"/>
    </font>
    <font>
      <b/>
      <sz val="8"/>
      <name val="HelveticaNeue Condensed"/>
      <charset val="134"/>
    </font>
    <font>
      <sz val="8"/>
      <name val="HelveticaNeue LightCond"/>
      <charset val="134"/>
    </font>
    <font>
      <b/>
      <sz val="7"/>
      <name val="HelveticaNeue Condensed"/>
      <charset val="134"/>
    </font>
    <font>
      <sz val="9"/>
      <color indexed="21"/>
      <name val="Helvetica-Black"/>
      <charset val="134"/>
    </font>
    <font>
      <b/>
      <sz val="9"/>
      <name val="Palatino"/>
      <charset val="134"/>
    </font>
    <font>
      <sz val="9"/>
      <name val="Palatino"/>
      <charset val="134"/>
    </font>
    <font>
      <b/>
      <sz val="8.5"/>
      <color indexed="8"/>
      <name val="Arial"/>
      <charset val="134"/>
    </font>
    <font>
      <b/>
      <sz val="12"/>
      <color indexed="16"/>
      <name val="Arial"/>
      <charset val="134"/>
    </font>
    <font>
      <b/>
      <sz val="14"/>
      <color indexed="8"/>
      <name val="Times New Roman"/>
      <charset val="134"/>
    </font>
    <font>
      <sz val="8"/>
      <name val="Helvetica-Narrow"/>
      <charset val="134"/>
    </font>
    <font>
      <b/>
      <sz val="7"/>
      <name val="Helvetica-Narrow"/>
      <charset val="134"/>
    </font>
    <font>
      <b/>
      <sz val="12"/>
      <name val="GillSans"/>
      <charset val="134"/>
    </font>
    <font>
      <sz val="12"/>
      <color indexed="8"/>
      <name val="Palatino"/>
      <charset val="134"/>
    </font>
    <font>
      <sz val="12"/>
      <name val="Palatino"/>
      <charset val="134"/>
    </font>
    <font>
      <sz val="11"/>
      <name val="Helvetica-Black"/>
      <charset val="134"/>
    </font>
    <font>
      <sz val="11"/>
      <color indexed="8"/>
      <name val="Helvetica-Black"/>
      <charset val="134"/>
    </font>
    <font>
      <sz val="11"/>
      <name val="Helvetica-Black"/>
      <charset val="134"/>
    </font>
    <font>
      <b/>
      <u/>
      <sz val="9"/>
      <name val="Arial"/>
      <charset val="134"/>
    </font>
    <font>
      <b/>
      <u/>
      <sz val="14"/>
      <name val="Book Antiqua"/>
      <charset val="134"/>
    </font>
    <font>
      <b/>
      <sz val="10"/>
      <name val="Book Antiqua"/>
      <charset val="134"/>
    </font>
    <font>
      <b/>
      <sz val="8"/>
      <color indexed="18"/>
      <name val="Times New Roman"/>
      <charset val="134"/>
    </font>
    <font>
      <b/>
      <sz val="7"/>
      <name val="Arial"/>
      <charset val="134"/>
    </font>
    <font>
      <u/>
      <sz val="11"/>
      <name val="GillSans"/>
      <charset val="134"/>
    </font>
    <font>
      <b/>
      <u/>
      <sz val="8"/>
      <name val="Helvetica"/>
      <charset val="134"/>
    </font>
    <font>
      <u/>
      <sz val="8"/>
      <name val="Tms Rmn"/>
      <charset val="134"/>
    </font>
    <font>
      <b/>
      <sz val="10"/>
      <name val="Times New Roman"/>
      <charset val="134"/>
    </font>
    <font>
      <sz val="8.5"/>
      <color indexed="14"/>
      <name val="Arial Narrow"/>
      <charset val="134"/>
    </font>
    <font>
      <sz val="12"/>
      <name val="宋体"/>
      <charset val="134"/>
    </font>
  </fonts>
  <fills count="9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8999908444471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gray0625">
        <fgColor indexed="10"/>
        <bgColor indexed="9"/>
      </patternFill>
    </fill>
    <fill>
      <patternFill patternType="solid">
        <fgColor rgb="FFFFC7CE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C6EFCE"/>
        <bgColor indexed="64"/>
      </patternFill>
    </fill>
    <fill>
      <patternFill patternType="lightGray">
        <fgColor indexed="14"/>
        <bgColor indexed="9"/>
      </patternFill>
    </fill>
    <fill>
      <patternFill patternType="solid">
        <fgColor rgb="FFF2F2F2"/>
        <bgColor indexed="64"/>
      </patternFill>
    </fill>
    <fill>
      <patternFill patternType="lightGray">
        <fgColor indexed="15"/>
      </patternFill>
    </fill>
    <fill>
      <patternFill patternType="solid">
        <fgColor rgb="FFA5A5A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26"/>
      </patternFill>
    </fill>
    <fill>
      <patternFill patternType="solid">
        <fgColor indexed="9"/>
        <bgColor indexed="64"/>
      </patternFill>
    </fill>
    <fill>
      <patternFill patternType="lightGray">
        <fgColor indexed="12"/>
      </patternFill>
    </fill>
    <fill>
      <patternFill patternType="gray125">
        <fgColor indexed="8"/>
      </patternFill>
    </fill>
    <fill>
      <patternFill patternType="gray0625">
        <fgColor indexed="13"/>
        <bgColor indexed="9"/>
      </patternFill>
    </fill>
    <fill>
      <patternFill patternType="solid">
        <fgColor indexed="15"/>
        <bgColor indexed="64"/>
      </patternFill>
    </fill>
    <fill>
      <patternFill patternType="lightGray">
        <fgColor indexed="12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darkVertical"/>
    </fill>
    <fill>
      <patternFill patternType="solid">
        <fgColor indexed="10"/>
        <bgColor indexed="64"/>
      </patternFill>
    </fill>
    <fill>
      <patternFill patternType="gray125"/>
    </fill>
    <fill>
      <patternFill patternType="solid">
        <fgColor indexed="35"/>
        <bgColor indexed="64"/>
      </patternFill>
    </fill>
    <fill>
      <patternFill patternType="lightGray">
        <fgColor indexed="22"/>
        <bgColor indexed="9"/>
      </patternFill>
    </fill>
    <fill>
      <patternFill patternType="gray0625"/>
    </fill>
    <fill>
      <patternFill patternType="solid">
        <fgColor indexed="16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ck">
        <color indexed="37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9"/>
      </left>
      <right style="thick">
        <color indexed="9"/>
      </right>
      <top/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9"/>
      </left>
      <right style="medium">
        <color indexed="49"/>
      </right>
      <top/>
      <bottom/>
      <diagonal/>
    </border>
  </borders>
  <cellStyleXfs count="2546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9" borderId="2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0" borderId="23" applyNumberFormat="0" applyAlignment="0" applyProtection="0">
      <alignment vertical="center"/>
    </xf>
    <xf numFmtId="0" fontId="39" fillId="11" borderId="24" applyNumberFormat="0" applyAlignment="0" applyProtection="0">
      <alignment vertical="center"/>
    </xf>
    <xf numFmtId="0" fontId="40" fillId="11" borderId="23" applyNumberFormat="0" applyAlignment="0" applyProtection="0">
      <alignment vertical="center"/>
    </xf>
    <xf numFmtId="0" fontId="41" fillId="12" borderId="25" applyNumberFormat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0" borderId="27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/>
    <xf numFmtId="176" fontId="49" fillId="0" borderId="0"/>
    <xf numFmtId="9" fontId="50" fillId="0" borderId="0">
      <alignment horizontal="right"/>
    </xf>
    <xf numFmtId="0" fontId="51" fillId="0" borderId="0"/>
    <xf numFmtId="0" fontId="52" fillId="0" borderId="0">
      <alignment vertical="center"/>
    </xf>
    <xf numFmtId="177" fontId="53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54" fillId="0" borderId="0">
      <alignment horizontal="right"/>
    </xf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7" fontId="54" fillId="0" borderId="0">
      <alignment horizontal="right"/>
    </xf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80" fontId="8" fillId="0" borderId="0"/>
    <xf numFmtId="181" fontId="53" fillId="0" borderId="0"/>
    <xf numFmtId="177" fontId="53" fillId="0" borderId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55" fillId="0" borderId="0"/>
    <xf numFmtId="181" fontId="53" fillId="0" borderId="0"/>
    <xf numFmtId="177" fontId="53" fillId="0" borderId="0"/>
    <xf numFmtId="182" fontId="56" fillId="0" borderId="0"/>
    <xf numFmtId="178" fontId="57" fillId="0" borderId="0"/>
    <xf numFmtId="183" fontId="53" fillId="0" borderId="0"/>
    <xf numFmtId="184" fontId="8" fillId="0" borderId="0">
      <alignment horizontal="right"/>
    </xf>
    <xf numFmtId="184" fontId="8" fillId="0" borderId="0">
      <alignment horizontal="right"/>
    </xf>
    <xf numFmtId="184" fontId="8" fillId="0" borderId="9">
      <alignment horizontal="right"/>
    </xf>
    <xf numFmtId="185" fontId="8" fillId="0" borderId="0">
      <alignment horizontal="right"/>
    </xf>
    <xf numFmtId="185" fontId="8" fillId="0" borderId="0">
      <alignment horizontal="right"/>
    </xf>
    <xf numFmtId="186" fontId="58" fillId="0" borderId="0" applyFont="0" applyFill="0" applyBorder="0" applyAlignment="0" applyProtection="0"/>
    <xf numFmtId="187" fontId="59" fillId="0" borderId="0"/>
    <xf numFmtId="188" fontId="55" fillId="0" borderId="0">
      <alignment horizontal="right"/>
    </xf>
    <xf numFmtId="189" fontId="58" fillId="0" borderId="0" applyFont="0" applyFill="0" applyBorder="0" applyAlignment="0" applyProtection="0"/>
    <xf numFmtId="190" fontId="58" fillId="0" borderId="0" applyFont="0" applyFill="0" applyBorder="0" applyAlignment="0" applyProtection="0"/>
    <xf numFmtId="0" fontId="60" fillId="0" borderId="28">
      <alignment vertical="top"/>
    </xf>
    <xf numFmtId="0" fontId="60" fillId="0" borderId="28">
      <alignment vertical="top"/>
    </xf>
    <xf numFmtId="191" fontId="61" fillId="40" borderId="28">
      <alignment vertical="top"/>
    </xf>
    <xf numFmtId="191" fontId="61" fillId="40" borderId="28">
      <alignment vertical="top"/>
    </xf>
    <xf numFmtId="192" fontId="55" fillId="41" borderId="0"/>
    <xf numFmtId="193" fontId="55" fillId="41" borderId="0"/>
    <xf numFmtId="194" fontId="55" fillId="41" borderId="0"/>
    <xf numFmtId="0" fontId="55" fillId="41" borderId="0">
      <alignment horizontal="right"/>
    </xf>
    <xf numFmtId="195" fontId="62" fillId="0" borderId="0" applyFont="0" applyFill="0" applyBorder="0" applyAlignment="0" applyProtection="0"/>
    <xf numFmtId="196" fontId="8" fillId="0" borderId="0" applyFont="0" applyFill="0" applyBorder="0" applyAlignment="0" applyProtection="0"/>
    <xf numFmtId="0" fontId="8" fillId="0" borderId="0"/>
    <xf numFmtId="197" fontId="8" fillId="0" borderId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0" fontId="8" fillId="0" borderId="0"/>
    <xf numFmtId="198" fontId="63" fillId="0" borderId="0"/>
    <xf numFmtId="198" fontId="63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98" fontId="63" fillId="0" borderId="0"/>
    <xf numFmtId="198" fontId="63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1" fillId="0" borderId="0" applyNumberFormat="0" applyFont="0" applyFill="0" applyBorder="0" applyAlignment="0" applyProtection="0"/>
    <xf numFmtId="0" fontId="64" fillId="0" borderId="4"/>
    <xf numFmtId="0" fontId="64" fillId="0" borderId="4"/>
    <xf numFmtId="0" fontId="64" fillId="0" borderId="4"/>
    <xf numFmtId="0" fontId="64" fillId="0" borderId="4"/>
    <xf numFmtId="199" fontId="63" fillId="0" borderId="0" applyFont="0" applyFill="0" applyBorder="0" applyAlignment="0"/>
    <xf numFmtId="200" fontId="8" fillId="0" borderId="0" applyFont="0" applyFill="0" applyBorder="0" applyAlignment="0" applyProtection="0"/>
    <xf numFmtId="201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40" fontId="67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8" fillId="0" borderId="0" applyFont="0" applyFill="0" applyBorder="0" applyAlignment="0" applyProtection="0"/>
    <xf numFmtId="0" fontId="66" fillId="0" borderId="0"/>
    <xf numFmtId="0" fontId="8" fillId="0" borderId="0"/>
    <xf numFmtId="0" fontId="8" fillId="0" borderId="0"/>
    <xf numFmtId="0" fontId="56" fillId="0" borderId="0"/>
    <xf numFmtId="0" fontId="56" fillId="0" borderId="0"/>
    <xf numFmtId="0" fontId="69" fillId="0" borderId="0" applyFont="0" applyAlignment="0">
      <alignment horizontal="center" vertical="center"/>
    </xf>
    <xf numFmtId="0" fontId="63" fillId="0" borderId="0"/>
    <xf numFmtId="0" fontId="69" fillId="0" borderId="0" applyFont="0" applyAlignment="0">
      <alignment horizontal="center" vertical="center"/>
    </xf>
    <xf numFmtId="0" fontId="69" fillId="0" borderId="0" applyFont="0" applyAlignment="0">
      <alignment horizontal="center" vertical="center"/>
    </xf>
    <xf numFmtId="0" fontId="69" fillId="0" borderId="0" applyFont="0" applyAlignment="0">
      <alignment horizontal="center" vertical="center"/>
    </xf>
    <xf numFmtId="0" fontId="69" fillId="0" borderId="0" applyFont="0" applyAlignment="0">
      <alignment horizontal="center" vertical="center"/>
    </xf>
    <xf numFmtId="0" fontId="69" fillId="0" borderId="0" applyFont="0" applyAlignment="0">
      <alignment horizontal="center" vertical="center"/>
    </xf>
    <xf numFmtId="0" fontId="69" fillId="0" borderId="0" applyFont="0" applyAlignment="0">
      <alignment horizontal="center" vertical="center"/>
    </xf>
    <xf numFmtId="0" fontId="63" fillId="0" borderId="0"/>
    <xf numFmtId="0" fontId="63" fillId="0" borderId="0"/>
    <xf numFmtId="201" fontId="70" fillId="0" borderId="0" applyFont="0" applyFill="0" applyBorder="0" applyAlignment="0" applyProtection="0"/>
    <xf numFmtId="201" fontId="53" fillId="0" borderId="0" applyFont="0" applyFill="0" applyBorder="0" applyAlignment="0" applyProtection="0"/>
    <xf numFmtId="202" fontId="70" fillId="0" borderId="0" applyFont="0" applyFill="0" applyBorder="0" applyAlignment="0" applyProtection="0"/>
    <xf numFmtId="202" fontId="5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NumberFormat="0" applyFill="0" applyBorder="0" applyAlignment="0" applyProtection="0"/>
    <xf numFmtId="203" fontId="52" fillId="0" borderId="0"/>
    <xf numFmtId="203" fontId="52" fillId="0" borderId="0"/>
    <xf numFmtId="204" fontId="52" fillId="0" borderId="0"/>
    <xf numFmtId="204" fontId="52" fillId="0" borderId="0"/>
    <xf numFmtId="9" fontId="50" fillId="0" borderId="0">
      <alignment horizontal="righ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205" fontId="70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70" fillId="0" borderId="0" applyFont="0" applyFill="0" applyBorder="0" applyAlignment="0" applyProtection="0"/>
    <xf numFmtId="205" fontId="70" fillId="0" borderId="0" applyFont="0" applyFill="0" applyBorder="0" applyAlignment="0" applyProtection="0"/>
    <xf numFmtId="205" fontId="70" fillId="0" borderId="0" applyFont="0" applyFill="0" applyBorder="0" applyAlignment="0" applyProtection="0"/>
    <xf numFmtId="205" fontId="71" fillId="0" borderId="0" applyFont="0" applyFill="0" applyBorder="0" applyAlignment="0" applyProtection="0"/>
    <xf numFmtId="206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72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70" fillId="0" borderId="0" applyFont="0" applyFill="0" applyBorder="0" applyAlignment="0" applyProtection="0"/>
    <xf numFmtId="207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05" fontId="70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70" fillId="0" borderId="0" applyFont="0" applyFill="0" applyBorder="0" applyAlignment="0" applyProtection="0"/>
    <xf numFmtId="206" fontId="8" fillId="0" borderId="0" applyFont="0" applyFill="0" applyBorder="0" applyAlignment="0" applyProtection="0"/>
    <xf numFmtId="20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05" fontId="70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71" fillId="0" borderId="0" applyFont="0" applyFill="0" applyBorder="0" applyAlignment="0" applyProtection="0"/>
    <xf numFmtId="180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72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70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70" fillId="0" borderId="0" applyFont="0" applyFill="0" applyBorder="0" applyAlignment="0" applyProtection="0"/>
    <xf numFmtId="209" fontId="70" fillId="0" borderId="0" applyFont="0" applyFill="0" applyBorder="0" applyAlignment="0" applyProtection="0"/>
    <xf numFmtId="209" fontId="70" fillId="0" borderId="0" applyFont="0" applyFill="0" applyBorder="0" applyAlignment="0" applyProtection="0"/>
    <xf numFmtId="211" fontId="8" fillId="0" borderId="0" applyFont="0" applyFill="0" applyBorder="0" applyAlignment="0" applyProtection="0"/>
    <xf numFmtId="212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70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70" fillId="0" borderId="0" applyFont="0" applyFill="0" applyBorder="0" applyAlignment="0" applyProtection="0"/>
    <xf numFmtId="209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71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72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70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70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0" fontId="8" fillId="0" borderId="0">
      <alignment vertical="top"/>
    </xf>
    <xf numFmtId="3" fontId="53" fillId="0" borderId="0"/>
    <xf numFmtId="0" fontId="73" fillId="0" borderId="0"/>
    <xf numFmtId="203" fontId="8" fillId="0" borderId="0" applyFont="0" applyFill="0" applyBorder="0" applyAlignment="0" applyProtection="0"/>
    <xf numFmtId="0" fontId="8" fillId="0" borderId="0">
      <alignment vertical="top"/>
    </xf>
    <xf numFmtId="0" fontId="8" fillId="0" borderId="0"/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214" fontId="7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50" fillId="0" borderId="0">
      <alignment horizontal="right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51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0" fillId="42" borderId="0" applyNumberFormat="0" applyFont="0" applyAlignment="0" applyProtection="0"/>
    <xf numFmtId="0" fontId="52" fillId="0" borderId="0"/>
    <xf numFmtId="0" fontId="52" fillId="0" borderId="0"/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3" fontId="53" fillId="0" borderId="0"/>
    <xf numFmtId="0" fontId="51" fillId="0" borderId="0" applyNumberFormat="0" applyFill="0" applyBorder="0" applyAlignment="0" applyProtection="0"/>
    <xf numFmtId="215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207" fontId="8" fillId="0" borderId="0">
      <alignment horizontal="left" wrapText="1"/>
    </xf>
    <xf numFmtId="0" fontId="8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3" fontId="53" fillId="0" borderId="0"/>
    <xf numFmtId="21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71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7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6" fontId="72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70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70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70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70" fillId="0" borderId="0" applyFont="0" applyFill="0" applyBorder="0" applyAlignment="0" applyProtection="0"/>
    <xf numFmtId="216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211" fontId="8" fillId="0" borderId="0" applyFont="0" applyFill="0" applyBorder="0" applyAlignment="0" applyProtection="0"/>
    <xf numFmtId="219" fontId="8" fillId="0" borderId="0" applyFont="0" applyFill="0" applyBorder="0" applyProtection="0">
      <alignment horizontal="right"/>
    </xf>
    <xf numFmtId="219" fontId="8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1" fontId="8" fillId="0" borderId="0" applyFont="0" applyFill="0" applyBorder="0" applyAlignment="0" applyProtection="0"/>
    <xf numFmtId="219" fontId="71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9" fontId="8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219" fontId="8" fillId="0" borderId="0" applyFont="0" applyFill="0" applyBorder="0" applyProtection="0">
      <alignment horizontal="right"/>
    </xf>
    <xf numFmtId="219" fontId="8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9" fontId="8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9" fontId="8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9" fontId="8" fillId="0" borderId="0" applyFont="0" applyFill="0" applyBorder="0" applyProtection="0">
      <alignment horizontal="right"/>
    </xf>
    <xf numFmtId="219" fontId="72" fillId="0" borderId="0" applyFont="0" applyFill="0" applyBorder="0" applyProtection="0">
      <alignment horizontal="right"/>
    </xf>
    <xf numFmtId="220" fontId="8" fillId="0" borderId="0" applyFont="0" applyFill="0" applyBorder="0" applyAlignment="0" applyProtection="0"/>
    <xf numFmtId="220" fontId="8" fillId="0" borderId="0" applyFont="0" applyFill="0" applyBorder="0" applyAlignment="0" applyProtection="0"/>
    <xf numFmtId="220" fontId="8" fillId="0" borderId="0" applyFont="0" applyFill="0" applyBorder="0" applyAlignment="0" applyProtection="0"/>
    <xf numFmtId="211" fontId="8" fillId="0" borderId="0" applyFont="0" applyFill="0" applyBorder="0" applyAlignment="0" applyProtection="0"/>
    <xf numFmtId="0" fontId="8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1" fontId="8" fillId="0" borderId="0" applyFont="0" applyFill="0" applyBorder="0" applyAlignment="0" applyProtection="0"/>
    <xf numFmtId="211" fontId="8" fillId="0" borderId="0" applyFont="0" applyFill="0" applyBorder="0" applyAlignment="0" applyProtection="0"/>
    <xf numFmtId="211" fontId="8" fillId="0" borderId="0" applyFont="0" applyFill="0" applyBorder="0" applyAlignment="0" applyProtection="0"/>
    <xf numFmtId="219" fontId="70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9" fontId="8" fillId="0" borderId="0" applyFont="0" applyFill="0" applyBorder="0" applyProtection="0">
      <alignment horizontal="right"/>
    </xf>
    <xf numFmtId="219" fontId="8" fillId="0" borderId="0" applyFont="0" applyFill="0" applyBorder="0" applyProtection="0">
      <alignment horizontal="right"/>
    </xf>
    <xf numFmtId="219" fontId="70" fillId="0" borderId="0" applyFont="0" applyFill="0" applyBorder="0" applyProtection="0">
      <alignment horizontal="right"/>
    </xf>
    <xf numFmtId="219" fontId="70" fillId="0" borderId="0" applyFont="0" applyFill="0" applyBorder="0" applyProtection="0">
      <alignment horizontal="right"/>
    </xf>
    <xf numFmtId="219" fontId="70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9" fontId="8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9" fontId="70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9" fontId="70" fillId="0" borderId="0" applyFont="0" applyFill="0" applyBorder="0" applyProtection="0">
      <alignment horizontal="right"/>
    </xf>
    <xf numFmtId="219" fontId="8" fillId="0" borderId="0" applyFont="0" applyFill="0" applyBorder="0" applyProtection="0">
      <alignment horizontal="right"/>
    </xf>
    <xf numFmtId="211" fontId="8" fillId="0" borderId="0" applyFont="0" applyFill="0" applyBorder="0" applyAlignment="0" applyProtection="0"/>
    <xf numFmtId="219" fontId="8" fillId="0" borderId="0" applyFont="0" applyFill="0" applyBorder="0" applyProtection="0">
      <alignment horizontal="right"/>
    </xf>
    <xf numFmtId="219" fontId="8" fillId="0" borderId="0" applyFont="0" applyFill="0" applyBorder="0" applyProtection="0">
      <alignment horizontal="right"/>
    </xf>
    <xf numFmtId="219" fontId="8" fillId="0" borderId="0" applyFont="0" applyFill="0" applyBorder="0" applyProtection="0">
      <alignment horizontal="right"/>
    </xf>
    <xf numFmtId="219" fontId="8" fillId="0" borderId="0" applyFont="0" applyFill="0" applyBorder="0" applyProtection="0">
      <alignment horizontal="right"/>
    </xf>
    <xf numFmtId="0" fontId="75" fillId="0" borderId="0"/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76" fillId="0" borderId="0"/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8" fillId="0" borderId="0">
      <alignment horizontal="left" wrapText="1"/>
    </xf>
    <xf numFmtId="215" fontId="8" fillId="0" borderId="0" applyFont="0" applyFill="0" applyBorder="0" applyAlignment="0" applyProtection="0"/>
    <xf numFmtId="221" fontId="8" fillId="0" borderId="0" applyFont="0" applyFill="0" applyBorder="0" applyAlignment="0" applyProtection="0"/>
    <xf numFmtId="201" fontId="8" fillId="0" borderId="0" applyFont="0" applyFill="0" applyBorder="0" applyProtection="0">
      <alignment horizontal="right"/>
    </xf>
    <xf numFmtId="201" fontId="8" fillId="0" borderId="0" applyFont="0" applyFill="0" applyBorder="0" applyAlignment="0" applyProtection="0"/>
    <xf numFmtId="201" fontId="8" fillId="0" borderId="0" applyFont="0" applyFill="0" applyBorder="0" applyAlignment="0" applyProtection="0"/>
    <xf numFmtId="201" fontId="8" fillId="0" borderId="0" applyFont="0" applyFill="0" applyBorder="0" applyAlignment="0" applyProtection="0"/>
    <xf numFmtId="215" fontId="8" fillId="0" borderId="0" applyFont="0" applyFill="0" applyBorder="0" applyAlignment="0" applyProtection="0"/>
    <xf numFmtId="222" fontId="8" fillId="0" borderId="0" applyFont="0" applyFill="0" applyBorder="0" applyAlignment="0" applyProtection="0"/>
    <xf numFmtId="202" fontId="8" fillId="0" borderId="0" applyFont="0" applyFill="0" applyBorder="0" applyProtection="0">
      <alignment horizontal="right"/>
    </xf>
    <xf numFmtId="223" fontId="8" fillId="0" borderId="0" applyFont="0" applyFill="0" applyBorder="0" applyAlignment="0" applyProtection="0"/>
    <xf numFmtId="202" fontId="8" fillId="0" borderId="0" applyFont="0" applyFill="0" applyBorder="0" applyProtection="0">
      <alignment horizontal="right"/>
    </xf>
    <xf numFmtId="202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22" fontId="8" fillId="0" borderId="0" applyFont="0" applyFill="0" applyBorder="0" applyAlignment="0" applyProtection="0"/>
    <xf numFmtId="0" fontId="75" fillId="0" borderId="0"/>
    <xf numFmtId="0" fontId="8" fillId="0" borderId="0"/>
    <xf numFmtId="0" fontId="8" fillId="0" borderId="0"/>
    <xf numFmtId="0" fontId="8" fillId="0" borderId="0"/>
    <xf numFmtId="215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207" fontId="8" fillId="0" borderId="0">
      <alignment horizontal="left" wrapText="1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 applyFill="0" applyAlignment="0">
      <protection locked="0"/>
    </xf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37" fontId="77" fillId="0" borderId="0" applyFont="0" applyFill="0" applyBorder="0" applyAlignment="0" applyProtection="0"/>
    <xf numFmtId="37" fontId="77" fillId="0" borderId="0" applyFont="0" applyFill="0" applyBorder="0" applyAlignment="0" applyProtection="0"/>
    <xf numFmtId="215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207" fontId="8" fillId="0" borderId="0">
      <alignment horizontal="left" wrapText="1"/>
    </xf>
    <xf numFmtId="37" fontId="77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0" fontId="8" fillId="0" borderId="0" applyNumberFormat="0" applyFill="0" applyBorder="0" applyAlignment="0" applyProtection="0"/>
    <xf numFmtId="203" fontId="52" fillId="0" borderId="0"/>
    <xf numFmtId="204" fontId="52" fillId="0" borderId="0"/>
    <xf numFmtId="204" fontId="52" fillId="0" borderId="0"/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Alignment="0" applyProtection="0">
      <alignment vertical="top"/>
    </xf>
    <xf numFmtId="0" fontId="8" fillId="0" borderId="0" applyNumberFormat="0" applyFill="0" applyBorder="0" applyAlignment="0" applyProtection="0"/>
    <xf numFmtId="0" fontId="78" fillId="0" borderId="0" applyNumberFormat="0" applyFill="0" applyBorder="0" applyProtection="0">
      <alignment vertical="top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8" fillId="0" borderId="0" applyNumberFormat="0" applyFill="0" applyBorder="0" applyProtection="0">
      <alignment vertical="top"/>
    </xf>
    <xf numFmtId="0" fontId="8" fillId="0" borderId="0" applyNumberFormat="0" applyFill="0" applyBorder="0" applyAlignment="0" applyProtection="0"/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8" fillId="0" borderId="0" applyNumberFormat="0" applyFill="0" applyBorder="0" applyAlignment="0" applyProtection="0"/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78" fillId="0" borderId="0" applyNumberFormat="0" applyFill="0" applyBorder="0" applyProtection="0">
      <alignment vertical="top"/>
    </xf>
    <xf numFmtId="0" fontId="52" fillId="0" borderId="0">
      <alignment vertical="center"/>
    </xf>
    <xf numFmtId="0" fontId="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>
      <alignment vertical="center"/>
    </xf>
    <xf numFmtId="0" fontId="8" fillId="0" borderId="0" applyFont="0" applyFill="0" applyBorder="0" applyAlignment="0" applyProtection="0"/>
    <xf numFmtId="0" fontId="8" fillId="0" borderId="0"/>
    <xf numFmtId="0" fontId="52" fillId="0" borderId="0">
      <alignment vertical="center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Font="0" applyFill="0" applyBorder="0" applyAlignment="0" applyProtection="0"/>
    <xf numFmtId="0" fontId="79" fillId="0" borderId="29" applyNumberFormat="0" applyFill="0" applyAlignment="0" applyProtection="0"/>
    <xf numFmtId="0" fontId="79" fillId="0" borderId="29" applyNumberFormat="0" applyFill="0" applyAlignment="0" applyProtection="0"/>
    <xf numFmtId="0" fontId="79" fillId="0" borderId="30" applyNumberFormat="0" applyFill="0" applyAlignment="0" applyProtection="0"/>
    <xf numFmtId="0" fontId="8" fillId="0" borderId="0" applyNumberFormat="0" applyFill="0" applyBorder="0" applyAlignment="0" applyProtection="0"/>
    <xf numFmtId="0" fontId="79" fillId="0" borderId="29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9" fillId="0" borderId="29" applyNumberFormat="0" applyFill="0" applyAlignment="0" applyProtection="0"/>
    <xf numFmtId="0" fontId="8" fillId="0" borderId="0" applyNumberFormat="0" applyFill="0" applyBorder="0" applyAlignment="0" applyProtection="0"/>
    <xf numFmtId="0" fontId="79" fillId="0" borderId="29" applyNumberFormat="0" applyFill="0" applyAlignment="0" applyProtection="0"/>
    <xf numFmtId="0" fontId="79" fillId="0" borderId="29" applyNumberFormat="0" applyFill="0" applyAlignment="0" applyProtection="0"/>
    <xf numFmtId="0" fontId="79" fillId="0" borderId="29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9" fillId="0" borderId="29" applyNumberFormat="0" applyFill="0" applyAlignment="0" applyProtection="0"/>
    <xf numFmtId="0" fontId="79" fillId="0" borderId="29" applyNumberFormat="0" applyFill="0" applyAlignment="0" applyProtection="0"/>
    <xf numFmtId="0" fontId="8" fillId="0" borderId="0" applyNumberFormat="0" applyFill="0" applyBorder="0" applyAlignment="0" applyProtection="0"/>
    <xf numFmtId="0" fontId="79" fillId="0" borderId="29" applyNumberFormat="0" applyFill="0" applyAlignment="0" applyProtection="0"/>
    <xf numFmtId="0" fontId="80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0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1" applyNumberFormat="0" applyFill="0" applyProtection="0">
      <alignment horizontal="center"/>
    </xf>
    <xf numFmtId="0" fontId="8" fillId="0" borderId="32" applyNumberFormat="0" applyFont="0" applyFill="0" applyAlignment="0" applyProtection="0"/>
    <xf numFmtId="0" fontId="8" fillId="0" borderId="32" applyNumberFormat="0" applyFont="0" applyFill="0" applyAlignment="0" applyProtection="0"/>
    <xf numFmtId="0" fontId="8" fillId="0" borderId="32" applyNumberFormat="0" applyFont="0" applyFill="0" applyAlignment="0" applyProtection="0"/>
    <xf numFmtId="0" fontId="8" fillId="0" borderId="32" applyNumberFormat="0" applyFont="0" applyFill="0" applyAlignment="0" applyProtection="0"/>
    <xf numFmtId="0" fontId="80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0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0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0" fillId="0" borderId="0" applyNumberFormat="0" applyFill="0" applyBorder="0" applyProtection="0">
      <alignment horizontal="left"/>
    </xf>
    <xf numFmtId="0" fontId="80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0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0" fillId="0" borderId="0" applyNumberFormat="0" applyFill="0" applyBorder="0" applyProtection="0">
      <alignment horizontal="left"/>
    </xf>
    <xf numFmtId="0" fontId="80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1" fillId="0" borderId="0" applyNumberFormat="0" applyFill="0" applyBorder="0" applyProtection="0">
      <alignment horizontal="centerContinuous"/>
    </xf>
    <xf numFmtId="0" fontId="81" fillId="0" borderId="0" applyNumberFormat="0" applyFill="0" applyBorder="0" applyProtection="0">
      <alignment horizontal="centerContinuous"/>
    </xf>
    <xf numFmtId="0" fontId="81" fillId="0" borderId="0" applyNumberFormat="0" applyFill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1" fillId="0" borderId="0" applyNumberFormat="0" applyFill="0" applyBorder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1" fillId="0" borderId="0" applyNumberFormat="0" applyFill="0" applyBorder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1" fillId="0" borderId="0" applyNumberFormat="0" applyFill="0" applyBorder="0" applyProtection="0">
      <alignment horizontal="centerContinuous"/>
    </xf>
    <xf numFmtId="0" fontId="81" fillId="0" borderId="0" applyNumberFormat="0" applyFill="0" applyBorder="0" applyProtection="0">
      <alignment horizontal="centerContinuous"/>
    </xf>
    <xf numFmtId="0" fontId="81" fillId="0" borderId="0" applyNumberFormat="0" applyFill="0" applyBorder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1" fillId="0" borderId="0" applyNumberFormat="0" applyFill="0" applyBorder="0" applyProtection="0">
      <alignment horizontal="centerContinuous"/>
    </xf>
    <xf numFmtId="0" fontId="81" fillId="0" borderId="0" applyNumberFormat="0" applyFill="0" applyBorder="0" applyProtection="0">
      <alignment horizontal="centerContinuous"/>
    </xf>
    <xf numFmtId="0" fontId="8" fillId="0" borderId="0" applyNumberFormat="0" applyFill="0" applyBorder="0" applyProtection="0">
      <alignment horizontal="centerContinuous"/>
    </xf>
    <xf numFmtId="0" fontId="81" fillId="0" borderId="0" applyNumberFormat="0" applyFill="0" applyBorder="0" applyProtection="0">
      <alignment horizontal="centerContinuous"/>
    </xf>
    <xf numFmtId="0" fontId="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203" fontId="52" fillId="0" borderId="0"/>
    <xf numFmtId="203" fontId="52" fillId="0" borderId="0"/>
    <xf numFmtId="204" fontId="52" fillId="0" borderId="0"/>
    <xf numFmtId="204" fontId="52" fillId="0" borderId="0"/>
    <xf numFmtId="0" fontId="8" fillId="0" borderId="0"/>
    <xf numFmtId="0" fontId="5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2" fillId="0" borderId="33" applyBorder="0"/>
    <xf numFmtId="224" fontId="83" fillId="0" borderId="0" applyFont="0" applyFill="0" applyBorder="0" applyAlignment="0" applyProtection="0"/>
    <xf numFmtId="225" fontId="56" fillId="0" borderId="0"/>
    <xf numFmtId="0" fontId="83" fillId="0" borderId="0" applyFont="0" applyFill="0" applyBorder="0" applyAlignment="0" applyProtection="0"/>
    <xf numFmtId="0" fontId="8" fillId="0" borderId="0"/>
    <xf numFmtId="0" fontId="84" fillId="0" borderId="0"/>
    <xf numFmtId="0" fontId="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26" fontId="77" fillId="0" borderId="0"/>
    <xf numFmtId="9" fontId="8" fillId="0" borderId="0"/>
    <xf numFmtId="0" fontId="83" fillId="0" borderId="0"/>
    <xf numFmtId="0" fontId="83" fillId="0" borderId="0"/>
    <xf numFmtId="183" fontId="85" fillId="0" borderId="0"/>
    <xf numFmtId="227" fontId="59" fillId="0" borderId="0">
      <alignment horizontal="right"/>
    </xf>
    <xf numFmtId="228" fontId="59" fillId="0" borderId="0"/>
    <xf numFmtId="229" fontId="86" fillId="0" borderId="0">
      <alignment horizontal="left"/>
      <protection locked="0"/>
    </xf>
    <xf numFmtId="228" fontId="77" fillId="0" borderId="0"/>
    <xf numFmtId="0" fontId="77" fillId="0" borderId="0"/>
    <xf numFmtId="40" fontId="85" fillId="0" borderId="0"/>
    <xf numFmtId="10" fontId="77" fillId="0" borderId="0"/>
    <xf numFmtId="2" fontId="77" fillId="0" borderId="0"/>
    <xf numFmtId="182" fontId="5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230" fontId="8" fillId="0" borderId="0" applyBorder="0"/>
    <xf numFmtId="231" fontId="8" fillId="0" borderId="0" applyBorder="0"/>
    <xf numFmtId="0" fontId="8" fillId="0" borderId="0" applyBorder="0"/>
    <xf numFmtId="226" fontId="77" fillId="0" borderId="0"/>
    <xf numFmtId="232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226" fontId="77" fillId="0" borderId="0"/>
    <xf numFmtId="232" fontId="77" fillId="0" borderId="0"/>
    <xf numFmtId="0" fontId="77" fillId="0" borderId="0"/>
    <xf numFmtId="0" fontId="77" fillId="0" borderId="0"/>
    <xf numFmtId="226" fontId="77" fillId="0" borderId="0"/>
    <xf numFmtId="232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226" fontId="77" fillId="0" borderId="0"/>
    <xf numFmtId="226" fontId="77" fillId="0" borderId="0"/>
    <xf numFmtId="232" fontId="77" fillId="0" borderId="0"/>
    <xf numFmtId="232" fontId="77" fillId="0" borderId="0"/>
    <xf numFmtId="226" fontId="77" fillId="0" borderId="0"/>
    <xf numFmtId="226" fontId="77" fillId="0" borderId="0"/>
    <xf numFmtId="232" fontId="77" fillId="0" borderId="0"/>
    <xf numFmtId="232" fontId="77" fillId="0" borderId="0"/>
    <xf numFmtId="0" fontId="77" fillId="0" borderId="0"/>
    <xf numFmtId="0" fontId="77" fillId="0" borderId="0"/>
    <xf numFmtId="232" fontId="77" fillId="0" borderId="0"/>
    <xf numFmtId="226" fontId="77" fillId="0" borderId="0"/>
    <xf numFmtId="226" fontId="77" fillId="0" borderId="0"/>
    <xf numFmtId="232" fontId="77" fillId="0" borderId="0"/>
    <xf numFmtId="232" fontId="77" fillId="0" borderId="0"/>
    <xf numFmtId="226" fontId="77" fillId="0" borderId="0"/>
    <xf numFmtId="226" fontId="77" fillId="0" borderId="0"/>
    <xf numFmtId="232" fontId="77" fillId="0" borderId="0"/>
    <xf numFmtId="232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226" fontId="77" fillId="0" borderId="0"/>
    <xf numFmtId="226" fontId="77" fillId="0" borderId="0"/>
    <xf numFmtId="232" fontId="77" fillId="0" borderId="0"/>
    <xf numFmtId="232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230" fontId="8" fillId="0" borderId="0" applyBorder="0"/>
    <xf numFmtId="231" fontId="8" fillId="0" borderId="0" applyBorder="0"/>
    <xf numFmtId="0" fontId="8" fillId="0" borderId="0" applyBorder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59" fillId="0" borderId="0">
      <alignment horizontal="center"/>
    </xf>
    <xf numFmtId="185" fontId="8" fillId="0" borderId="0"/>
    <xf numFmtId="0" fontId="8" fillId="0" borderId="0"/>
    <xf numFmtId="0" fontId="64" fillId="0" borderId="0"/>
    <xf numFmtId="212" fontId="87" fillId="0" borderId="0"/>
    <xf numFmtId="233" fontId="58" fillId="0" borderId="0" applyFont="0" applyFill="0" applyBorder="0" applyAlignment="0" applyProtection="0"/>
    <xf numFmtId="234" fontId="58" fillId="0" borderId="0" applyFont="0" applyFill="0" applyBorder="0" applyAlignment="0" applyProtection="0"/>
    <xf numFmtId="235" fontId="58" fillId="0" borderId="0" applyFont="0" applyFill="0" applyBorder="0" applyAlignment="0" applyProtection="0"/>
    <xf numFmtId="236" fontId="88" fillId="0" borderId="0"/>
    <xf numFmtId="0" fontId="0" fillId="17" borderId="0" applyNumberFormat="0" applyBorder="0" applyAlignment="0" applyProtection="0"/>
    <xf numFmtId="0" fontId="0" fillId="17" borderId="0" applyNumberFormat="0" applyBorder="0" applyAlignment="0" applyProtection="0"/>
    <xf numFmtId="0" fontId="3" fillId="17" borderId="0" applyNumberFormat="0" applyBorder="0" applyAlignment="0" applyProtection="0"/>
    <xf numFmtId="0" fontId="89" fillId="43" borderId="0" applyNumberFormat="0" applyBorder="0" applyAlignment="0" applyProtection="0"/>
    <xf numFmtId="0" fontId="3" fillId="17" borderId="0" applyNumberFormat="0" applyBorder="0" applyAlignment="0" applyProtection="0"/>
    <xf numFmtId="0" fontId="89" fillId="43" borderId="0" applyNumberFormat="0" applyBorder="0" applyAlignment="0" applyProtection="0"/>
    <xf numFmtId="0" fontId="3" fillId="17" borderId="0" applyNumberFormat="0" applyBorder="0" applyAlignment="0" applyProtection="0"/>
    <xf numFmtId="0" fontId="89" fillId="43" borderId="0" applyNumberFormat="0" applyBorder="0" applyAlignment="0" applyProtection="0"/>
    <xf numFmtId="0" fontId="3" fillId="17" borderId="0" applyNumberFormat="0" applyBorder="0" applyAlignment="0" applyProtection="0"/>
    <xf numFmtId="0" fontId="89" fillId="43" borderId="0" applyNumberFormat="0" applyBorder="0" applyAlignment="0" applyProtection="0"/>
    <xf numFmtId="0" fontId="0" fillId="17" borderId="0" applyNumberFormat="0" applyBorder="0" applyAlignment="0" applyProtection="0"/>
    <xf numFmtId="0" fontId="0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0" fillId="17" borderId="0" applyNumberFormat="0" applyBorder="0" applyAlignment="0" applyProtection="0"/>
    <xf numFmtId="0" fontId="0" fillId="17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3" fillId="21" borderId="0" applyNumberFormat="0" applyBorder="0" applyAlignment="0" applyProtection="0"/>
    <xf numFmtId="0" fontId="89" fillId="44" borderId="0" applyNumberFormat="0" applyBorder="0" applyAlignment="0" applyProtection="0"/>
    <xf numFmtId="0" fontId="3" fillId="21" borderId="0" applyNumberFormat="0" applyBorder="0" applyAlignment="0" applyProtection="0"/>
    <xf numFmtId="0" fontId="89" fillId="44" borderId="0" applyNumberFormat="0" applyBorder="0" applyAlignment="0" applyProtection="0"/>
    <xf numFmtId="0" fontId="3" fillId="21" borderId="0" applyNumberFormat="0" applyBorder="0" applyAlignment="0" applyProtection="0"/>
    <xf numFmtId="0" fontId="89" fillId="44" borderId="0" applyNumberFormat="0" applyBorder="0" applyAlignment="0" applyProtection="0"/>
    <xf numFmtId="0" fontId="3" fillId="21" borderId="0" applyNumberFormat="0" applyBorder="0" applyAlignment="0" applyProtection="0"/>
    <xf numFmtId="0" fontId="89" fillId="44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3" fillId="25" borderId="0" applyNumberFormat="0" applyBorder="0" applyAlignment="0" applyProtection="0"/>
    <xf numFmtId="0" fontId="89" fillId="45" borderId="0" applyNumberFormat="0" applyBorder="0" applyAlignment="0" applyProtection="0"/>
    <xf numFmtId="0" fontId="3" fillId="25" borderId="0" applyNumberFormat="0" applyBorder="0" applyAlignment="0" applyProtection="0"/>
    <xf numFmtId="0" fontId="89" fillId="45" borderId="0" applyNumberFormat="0" applyBorder="0" applyAlignment="0" applyProtection="0"/>
    <xf numFmtId="0" fontId="3" fillId="25" borderId="0" applyNumberFormat="0" applyBorder="0" applyAlignment="0" applyProtection="0"/>
    <xf numFmtId="0" fontId="89" fillId="45" borderId="0" applyNumberFormat="0" applyBorder="0" applyAlignment="0" applyProtection="0"/>
    <xf numFmtId="0" fontId="3" fillId="25" borderId="0" applyNumberFormat="0" applyBorder="0" applyAlignment="0" applyProtection="0"/>
    <xf numFmtId="0" fontId="89" fillId="4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3" fillId="29" borderId="0" applyNumberFormat="0" applyBorder="0" applyAlignment="0" applyProtection="0"/>
    <xf numFmtId="0" fontId="89" fillId="46" borderId="0" applyNumberFormat="0" applyBorder="0" applyAlignment="0" applyProtection="0"/>
    <xf numFmtId="0" fontId="3" fillId="29" borderId="0" applyNumberFormat="0" applyBorder="0" applyAlignment="0" applyProtection="0"/>
    <xf numFmtId="0" fontId="89" fillId="46" borderId="0" applyNumberFormat="0" applyBorder="0" applyAlignment="0" applyProtection="0"/>
    <xf numFmtId="0" fontId="3" fillId="29" borderId="0" applyNumberFormat="0" applyBorder="0" applyAlignment="0" applyProtection="0"/>
    <xf numFmtId="0" fontId="89" fillId="46" borderId="0" applyNumberFormat="0" applyBorder="0" applyAlignment="0" applyProtection="0"/>
    <xf numFmtId="0" fontId="3" fillId="29" borderId="0" applyNumberFormat="0" applyBorder="0" applyAlignment="0" applyProtection="0"/>
    <xf numFmtId="0" fontId="89" fillId="46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3" fillId="33" borderId="0" applyNumberFormat="0" applyBorder="0" applyAlignment="0" applyProtection="0"/>
    <xf numFmtId="0" fontId="89" fillId="43" borderId="0" applyNumberFormat="0" applyBorder="0" applyAlignment="0" applyProtection="0"/>
    <xf numFmtId="0" fontId="3" fillId="33" borderId="0" applyNumberFormat="0" applyBorder="0" applyAlignment="0" applyProtection="0"/>
    <xf numFmtId="0" fontId="89" fillId="43" borderId="0" applyNumberFormat="0" applyBorder="0" applyAlignment="0" applyProtection="0"/>
    <xf numFmtId="0" fontId="3" fillId="33" borderId="0" applyNumberFormat="0" applyBorder="0" applyAlignment="0" applyProtection="0"/>
    <xf numFmtId="0" fontId="89" fillId="43" borderId="0" applyNumberFormat="0" applyBorder="0" applyAlignment="0" applyProtection="0"/>
    <xf numFmtId="0" fontId="3" fillId="33" borderId="0" applyNumberFormat="0" applyBorder="0" applyAlignment="0" applyProtection="0"/>
    <xf numFmtId="0" fontId="89" fillId="4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7" borderId="0" applyNumberFormat="0" applyBorder="0" applyAlignment="0" applyProtection="0"/>
    <xf numFmtId="0" fontId="0" fillId="37" borderId="0" applyNumberFormat="0" applyBorder="0" applyAlignment="0" applyProtection="0"/>
    <xf numFmtId="0" fontId="3" fillId="37" borderId="0" applyNumberFormat="0" applyBorder="0" applyAlignment="0" applyProtection="0"/>
    <xf numFmtId="0" fontId="89" fillId="47" borderId="0" applyNumberFormat="0" applyBorder="0" applyAlignment="0" applyProtection="0"/>
    <xf numFmtId="0" fontId="3" fillId="37" borderId="0" applyNumberFormat="0" applyBorder="0" applyAlignment="0" applyProtection="0"/>
    <xf numFmtId="0" fontId="89" fillId="47" borderId="0" applyNumberFormat="0" applyBorder="0" applyAlignment="0" applyProtection="0"/>
    <xf numFmtId="0" fontId="3" fillId="37" borderId="0" applyNumberFormat="0" applyBorder="0" applyAlignment="0" applyProtection="0"/>
    <xf numFmtId="0" fontId="89" fillId="47" borderId="0" applyNumberFormat="0" applyBorder="0" applyAlignment="0" applyProtection="0"/>
    <xf numFmtId="0" fontId="3" fillId="37" borderId="0" applyNumberFormat="0" applyBorder="0" applyAlignment="0" applyProtection="0"/>
    <xf numFmtId="0" fontId="89" fillId="47" borderId="0" applyNumberFormat="0" applyBorder="0" applyAlignment="0" applyProtection="0"/>
    <xf numFmtId="0" fontId="0" fillId="37" borderId="0" applyNumberFormat="0" applyBorder="0" applyAlignment="0" applyProtection="0"/>
    <xf numFmtId="0" fontId="0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0" fillId="37" borderId="0" applyNumberFormat="0" applyBorder="0" applyAlignment="0" applyProtection="0"/>
    <xf numFmtId="0" fontId="0" fillId="37" borderId="0" applyNumberFormat="0" applyBorder="0" applyAlignment="0" applyProtection="0"/>
    <xf numFmtId="0" fontId="89" fillId="4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89" fillId="49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89" fillId="4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89" fillId="50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89" fillId="51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89" fillId="4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89" fillId="48" borderId="0" applyNumberFormat="0" applyBorder="0" applyAlignment="0" applyProtection="0"/>
    <xf numFmtId="0" fontId="89" fillId="49" borderId="0" applyNumberFormat="0" applyBorder="0" applyAlignment="0" applyProtection="0"/>
    <xf numFmtId="0" fontId="89" fillId="45" borderId="0" applyNumberFormat="0" applyBorder="0" applyAlignment="0" applyProtection="0"/>
    <xf numFmtId="0" fontId="89" fillId="50" borderId="0" applyNumberFormat="0" applyBorder="0" applyAlignment="0" applyProtection="0"/>
    <xf numFmtId="0" fontId="89" fillId="51" borderId="0" applyNumberFormat="0" applyBorder="0" applyAlignment="0" applyProtection="0"/>
    <xf numFmtId="0" fontId="89" fillId="47" borderId="0" applyNumberFormat="0" applyBorder="0" applyAlignment="0" applyProtection="0"/>
    <xf numFmtId="237" fontId="90" fillId="0" borderId="0"/>
    <xf numFmtId="0" fontId="90" fillId="0" borderId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3" fillId="18" borderId="0" applyNumberFormat="0" applyBorder="0" applyAlignment="0" applyProtection="0"/>
    <xf numFmtId="0" fontId="89" fillId="52" borderId="0" applyNumberFormat="0" applyBorder="0" applyAlignment="0" applyProtection="0"/>
    <xf numFmtId="0" fontId="3" fillId="18" borderId="0" applyNumberFormat="0" applyBorder="0" applyAlignment="0" applyProtection="0"/>
    <xf numFmtId="0" fontId="89" fillId="52" borderId="0" applyNumberFormat="0" applyBorder="0" applyAlignment="0" applyProtection="0"/>
    <xf numFmtId="0" fontId="3" fillId="18" borderId="0" applyNumberFormat="0" applyBorder="0" applyAlignment="0" applyProtection="0"/>
    <xf numFmtId="0" fontId="89" fillId="52" borderId="0" applyNumberFormat="0" applyBorder="0" applyAlignment="0" applyProtection="0"/>
    <xf numFmtId="0" fontId="3" fillId="18" borderId="0" applyNumberFormat="0" applyBorder="0" applyAlignment="0" applyProtection="0"/>
    <xf numFmtId="0" fontId="89" fillId="52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3" fillId="22" borderId="0" applyNumberFormat="0" applyBorder="0" applyAlignment="0" applyProtection="0"/>
    <xf numFmtId="0" fontId="89" fillId="44" borderId="0" applyNumberFormat="0" applyBorder="0" applyAlignment="0" applyProtection="0"/>
    <xf numFmtId="0" fontId="3" fillId="22" borderId="0" applyNumberFormat="0" applyBorder="0" applyAlignment="0" applyProtection="0"/>
    <xf numFmtId="0" fontId="89" fillId="44" borderId="0" applyNumberFormat="0" applyBorder="0" applyAlignment="0" applyProtection="0"/>
    <xf numFmtId="0" fontId="3" fillId="22" borderId="0" applyNumberFormat="0" applyBorder="0" applyAlignment="0" applyProtection="0"/>
    <xf numFmtId="0" fontId="89" fillId="44" borderId="0" applyNumberFormat="0" applyBorder="0" applyAlignment="0" applyProtection="0"/>
    <xf numFmtId="0" fontId="3" fillId="22" borderId="0" applyNumberFormat="0" applyBorder="0" applyAlignment="0" applyProtection="0"/>
    <xf numFmtId="0" fontId="89" fillId="44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3" fillId="26" borderId="0" applyNumberFormat="0" applyBorder="0" applyAlignment="0" applyProtection="0"/>
    <xf numFmtId="0" fontId="89" fillId="53" borderId="0" applyNumberFormat="0" applyBorder="0" applyAlignment="0" applyProtection="0"/>
    <xf numFmtId="0" fontId="3" fillId="26" borderId="0" applyNumberFormat="0" applyBorder="0" applyAlignment="0" applyProtection="0"/>
    <xf numFmtId="0" fontId="89" fillId="53" borderId="0" applyNumberFormat="0" applyBorder="0" applyAlignment="0" applyProtection="0"/>
    <xf numFmtId="0" fontId="3" fillId="26" borderId="0" applyNumberFormat="0" applyBorder="0" applyAlignment="0" applyProtection="0"/>
    <xf numFmtId="0" fontId="89" fillId="53" borderId="0" applyNumberFormat="0" applyBorder="0" applyAlignment="0" applyProtection="0"/>
    <xf numFmtId="0" fontId="3" fillId="26" borderId="0" applyNumberFormat="0" applyBorder="0" applyAlignment="0" applyProtection="0"/>
    <xf numFmtId="0" fontId="89" fillId="53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3" fillId="30" borderId="0" applyNumberFormat="0" applyBorder="0" applyAlignment="0" applyProtection="0"/>
    <xf numFmtId="0" fontId="89" fillId="46" borderId="0" applyNumberFormat="0" applyBorder="0" applyAlignment="0" applyProtection="0"/>
    <xf numFmtId="0" fontId="3" fillId="30" borderId="0" applyNumberFormat="0" applyBorder="0" applyAlignment="0" applyProtection="0"/>
    <xf numFmtId="0" fontId="89" fillId="46" borderId="0" applyNumberFormat="0" applyBorder="0" applyAlignment="0" applyProtection="0"/>
    <xf numFmtId="0" fontId="3" fillId="30" borderId="0" applyNumberFormat="0" applyBorder="0" applyAlignment="0" applyProtection="0"/>
    <xf numFmtId="0" fontId="89" fillId="46" borderId="0" applyNumberFormat="0" applyBorder="0" applyAlignment="0" applyProtection="0"/>
    <xf numFmtId="0" fontId="3" fillId="30" borderId="0" applyNumberFormat="0" applyBorder="0" applyAlignment="0" applyProtection="0"/>
    <xf numFmtId="0" fontId="89" fillId="46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3" fillId="34" borderId="0" applyNumberFormat="0" applyBorder="0" applyAlignment="0" applyProtection="0"/>
    <xf numFmtId="0" fontId="89" fillId="52" borderId="0" applyNumberFormat="0" applyBorder="0" applyAlignment="0" applyProtection="0"/>
    <xf numFmtId="0" fontId="3" fillId="34" borderId="0" applyNumberFormat="0" applyBorder="0" applyAlignment="0" applyProtection="0"/>
    <xf numFmtId="0" fontId="89" fillId="52" borderId="0" applyNumberFormat="0" applyBorder="0" applyAlignment="0" applyProtection="0"/>
    <xf numFmtId="0" fontId="3" fillId="34" borderId="0" applyNumberFormat="0" applyBorder="0" applyAlignment="0" applyProtection="0"/>
    <xf numFmtId="0" fontId="89" fillId="52" borderId="0" applyNumberFormat="0" applyBorder="0" applyAlignment="0" applyProtection="0"/>
    <xf numFmtId="0" fontId="3" fillId="34" borderId="0" applyNumberFormat="0" applyBorder="0" applyAlignment="0" applyProtection="0"/>
    <xf numFmtId="0" fontId="89" fillId="52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0" fillId="38" borderId="0" applyNumberFormat="0" applyBorder="0" applyAlignment="0" applyProtection="0"/>
    <xf numFmtId="0" fontId="0" fillId="38" borderId="0" applyNumberFormat="0" applyBorder="0" applyAlignment="0" applyProtection="0"/>
    <xf numFmtId="0" fontId="3" fillId="38" borderId="0" applyNumberFormat="0" applyBorder="0" applyAlignment="0" applyProtection="0"/>
    <xf numFmtId="0" fontId="89" fillId="47" borderId="0" applyNumberFormat="0" applyBorder="0" applyAlignment="0" applyProtection="0"/>
    <xf numFmtId="0" fontId="3" fillId="38" borderId="0" applyNumberFormat="0" applyBorder="0" applyAlignment="0" applyProtection="0"/>
    <xf numFmtId="0" fontId="89" fillId="47" borderId="0" applyNumberFormat="0" applyBorder="0" applyAlignment="0" applyProtection="0"/>
    <xf numFmtId="0" fontId="3" fillId="38" borderId="0" applyNumberFormat="0" applyBorder="0" applyAlignment="0" applyProtection="0"/>
    <xf numFmtId="0" fontId="89" fillId="47" borderId="0" applyNumberFormat="0" applyBorder="0" applyAlignment="0" applyProtection="0"/>
    <xf numFmtId="0" fontId="3" fillId="38" borderId="0" applyNumberFormat="0" applyBorder="0" applyAlignment="0" applyProtection="0"/>
    <xf numFmtId="0" fontId="89" fillId="47" borderId="0" applyNumberFormat="0" applyBorder="0" applyAlignment="0" applyProtection="0"/>
    <xf numFmtId="0" fontId="0" fillId="38" borderId="0" applyNumberFormat="0" applyBorder="0" applyAlignment="0" applyProtection="0"/>
    <xf numFmtId="0" fontId="0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0" fillId="38" borderId="0" applyNumberFormat="0" applyBorder="0" applyAlignment="0" applyProtection="0"/>
    <xf numFmtId="0" fontId="0" fillId="38" borderId="0" applyNumberFormat="0" applyBorder="0" applyAlignment="0" applyProtection="0"/>
    <xf numFmtId="0" fontId="89" fillId="4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89" fillId="54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89" fillId="53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89" fillId="5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89" fillId="43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89" fillId="55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89" fillId="43" borderId="0" applyNumberFormat="0" applyBorder="0" applyAlignment="0" applyProtection="0"/>
    <xf numFmtId="0" fontId="89" fillId="54" borderId="0" applyNumberFormat="0" applyBorder="0" applyAlignment="0" applyProtection="0"/>
    <xf numFmtId="0" fontId="89" fillId="53" borderId="0" applyNumberFormat="0" applyBorder="0" applyAlignment="0" applyProtection="0"/>
    <xf numFmtId="0" fontId="89" fillId="50" borderId="0" applyNumberFormat="0" applyBorder="0" applyAlignment="0" applyProtection="0"/>
    <xf numFmtId="0" fontId="89" fillId="43" borderId="0" applyNumberFormat="0" applyBorder="0" applyAlignment="0" applyProtection="0"/>
    <xf numFmtId="0" fontId="89" fillId="55" borderId="0" applyNumberFormat="0" applyBorder="0" applyAlignment="0" applyProtection="0"/>
    <xf numFmtId="0" fontId="91" fillId="0" borderId="0"/>
    <xf numFmtId="0" fontId="92" fillId="19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2" fillId="23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2" fillId="27" borderId="0" applyNumberFormat="0" applyBorder="0" applyAlignment="0" applyProtection="0"/>
    <xf numFmtId="0" fontId="93" fillId="53" borderId="0" applyNumberFormat="0" applyBorder="0" applyAlignment="0" applyProtection="0"/>
    <xf numFmtId="0" fontId="93" fillId="53" borderId="0" applyNumberFormat="0" applyBorder="0" applyAlignment="0" applyProtection="0"/>
    <xf numFmtId="0" fontId="93" fillId="53" borderId="0" applyNumberFormat="0" applyBorder="0" applyAlignment="0" applyProtection="0"/>
    <xf numFmtId="0" fontId="93" fillId="53" borderId="0" applyNumberFormat="0" applyBorder="0" applyAlignment="0" applyProtection="0"/>
    <xf numFmtId="0" fontId="93" fillId="53" borderId="0" applyNumberFormat="0" applyBorder="0" applyAlignment="0" applyProtection="0"/>
    <xf numFmtId="0" fontId="93" fillId="53" borderId="0" applyNumberFormat="0" applyBorder="0" applyAlignment="0" applyProtection="0"/>
    <xf numFmtId="0" fontId="93" fillId="53" borderId="0" applyNumberFormat="0" applyBorder="0" applyAlignment="0" applyProtection="0"/>
    <xf numFmtId="0" fontId="92" fillId="31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2" fillId="35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3" fillId="52" borderId="0" applyNumberFormat="0" applyBorder="0" applyAlignment="0" applyProtection="0"/>
    <xf numFmtId="0" fontId="92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5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93" fillId="54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93" fillId="53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93" fillId="59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93" fillId="60" borderId="0" applyNumberFormat="0" applyBorder="0" applyAlignment="0" applyProtection="0"/>
    <xf numFmtId="0" fontId="5" fillId="35" borderId="0" applyNumberFormat="0" applyBorder="0" applyAlignment="0" applyProtection="0"/>
    <xf numFmtId="0" fontId="5" fillId="35" borderId="0" applyNumberFormat="0" applyBorder="0" applyAlignment="0" applyProtection="0"/>
    <xf numFmtId="0" fontId="5" fillId="35" borderId="0" applyNumberFormat="0" applyBorder="0" applyAlignment="0" applyProtection="0"/>
    <xf numFmtId="0" fontId="5" fillId="35" borderId="0" applyNumberFormat="0" applyBorder="0" applyAlignment="0" applyProtection="0"/>
    <xf numFmtId="0" fontId="5" fillId="35" borderId="0" applyNumberFormat="0" applyBorder="0" applyAlignment="0" applyProtection="0"/>
    <xf numFmtId="0" fontId="93" fillId="44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93" fillId="58" borderId="0" applyNumberFormat="0" applyBorder="0" applyAlignment="0" applyProtection="0"/>
    <xf numFmtId="0" fontId="93" fillId="54" borderId="0" applyNumberFormat="0" applyBorder="0" applyAlignment="0" applyProtection="0"/>
    <xf numFmtId="0" fontId="93" fillId="53" borderId="0" applyNumberFormat="0" applyBorder="0" applyAlignment="0" applyProtection="0"/>
    <xf numFmtId="0" fontId="93" fillId="59" borderId="0" applyNumberFormat="0" applyBorder="0" applyAlignment="0" applyProtection="0"/>
    <xf numFmtId="0" fontId="93" fillId="60" borderId="0" applyNumberFormat="0" applyBorder="0" applyAlignment="0" applyProtection="0"/>
    <xf numFmtId="0" fontId="93" fillId="44" borderId="0" applyNumberFormat="0" applyBorder="0" applyAlignment="0" applyProtection="0"/>
    <xf numFmtId="0" fontId="59" fillId="0" borderId="0">
      <alignment horizontal="center"/>
    </xf>
    <xf numFmtId="0" fontId="75" fillId="0" borderId="0">
      <protection locked="0"/>
    </xf>
    <xf numFmtId="0" fontId="59" fillId="0" borderId="0">
      <alignment horizontal="center"/>
    </xf>
    <xf numFmtId="37" fontId="58" fillId="0" borderId="0">
      <alignment horizontal="center"/>
    </xf>
    <xf numFmtId="0" fontId="94" fillId="0" borderId="0" applyFont="0" applyFill="0"/>
    <xf numFmtId="238" fontId="95" fillId="0" borderId="0"/>
    <xf numFmtId="239" fontId="54" fillId="0" borderId="0"/>
    <xf numFmtId="240" fontId="56" fillId="0" borderId="0"/>
    <xf numFmtId="206" fontId="96" fillId="41" borderId="0" applyFont="0" applyBorder="0"/>
    <xf numFmtId="0" fontId="97" fillId="61" borderId="0"/>
    <xf numFmtId="206" fontId="96" fillId="54" borderId="0" applyNumberFormat="0" applyFont="0" applyBorder="0" applyAlignment="0" applyProtection="0"/>
    <xf numFmtId="206" fontId="52" fillId="45" borderId="0" applyNumberFormat="0" applyFont="0" applyBorder="0" applyAlignment="0" applyProtection="0"/>
    <xf numFmtId="206" fontId="87" fillId="48" borderId="0" applyBorder="0"/>
    <xf numFmtId="206" fontId="87" fillId="48" borderId="0" applyBorder="0"/>
    <xf numFmtId="206" fontId="8" fillId="0" borderId="34" applyNumberFormat="0" applyBorder="0" applyAlignment="0" applyProtection="0"/>
    <xf numFmtId="231" fontId="50" fillId="0" borderId="0" applyBorder="0">
      <alignment horizontal="right"/>
    </xf>
    <xf numFmtId="231" fontId="87" fillId="0" borderId="34" applyBorder="0">
      <alignment horizontal="right"/>
    </xf>
    <xf numFmtId="231" fontId="87" fillId="0" borderId="34" applyBorder="0">
      <alignment horizontal="right"/>
    </xf>
    <xf numFmtId="228" fontId="98" fillId="0" borderId="0" applyBorder="0">
      <alignment horizontal="right"/>
    </xf>
    <xf numFmtId="228" fontId="99" fillId="0" borderId="34" applyBorder="0">
      <alignment horizontal="right"/>
    </xf>
    <xf numFmtId="206" fontId="100" fillId="0" borderId="0">
      <alignment horizontal="left" indent="1"/>
    </xf>
    <xf numFmtId="206" fontId="101" fillId="0" borderId="2" applyBorder="0"/>
    <xf numFmtId="206" fontId="96" fillId="42" borderId="34" applyNumberFormat="0" applyFont="0" applyBorder="0" applyAlignment="0" applyProtection="0"/>
    <xf numFmtId="231" fontId="69" fillId="55" borderId="2" applyBorder="0">
      <alignment horizontal="right"/>
    </xf>
    <xf numFmtId="231" fontId="69" fillId="0" borderId="2" applyBorder="0">
      <alignment horizontal="right"/>
    </xf>
    <xf numFmtId="206" fontId="53" fillId="0" borderId="34" applyNumberFormat="0" applyBorder="0" applyAlignment="0" applyProtection="0"/>
    <xf numFmtId="206" fontId="53" fillId="0" borderId="34" applyNumberFormat="0" applyBorder="0" applyAlignment="0" applyProtection="0"/>
    <xf numFmtId="0" fontId="69" fillId="41" borderId="35" applyBorder="0">
      <alignment horizontal="center"/>
    </xf>
    <xf numFmtId="37" fontId="102" fillId="0" borderId="0"/>
    <xf numFmtId="0" fontId="92" fillId="2" borderId="0" applyNumberFormat="0" applyBorder="0" applyAlignment="0" applyProtection="0"/>
    <xf numFmtId="0" fontId="93" fillId="62" borderId="0" applyNumberFormat="0" applyBorder="0" applyAlignment="0" applyProtection="0"/>
    <xf numFmtId="0" fontId="93" fillId="62" borderId="0" applyNumberFormat="0" applyBorder="0" applyAlignment="0" applyProtection="0"/>
    <xf numFmtId="0" fontId="93" fillId="62" borderId="0" applyNumberFormat="0" applyBorder="0" applyAlignment="0" applyProtection="0"/>
    <xf numFmtId="0" fontId="93" fillId="62" borderId="0" applyNumberFormat="0" applyBorder="0" applyAlignment="0" applyProtection="0"/>
    <xf numFmtId="0" fontId="93" fillId="62" borderId="0" applyNumberFormat="0" applyBorder="0" applyAlignment="0" applyProtection="0"/>
    <xf numFmtId="0" fontId="93" fillId="62" borderId="0" applyNumberFormat="0" applyBorder="0" applyAlignment="0" applyProtection="0"/>
    <xf numFmtId="0" fontId="93" fillId="62" borderId="0" applyNumberFormat="0" applyBorder="0" applyAlignment="0" applyProtection="0"/>
    <xf numFmtId="0" fontId="92" fillId="63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92" fillId="8" borderId="0" applyNumberFormat="0" applyBorder="0" applyAlignment="0" applyProtection="0"/>
    <xf numFmtId="0" fontId="93" fillId="64" borderId="0" applyNumberFormat="0" applyBorder="0" applyAlignment="0" applyProtection="0"/>
    <xf numFmtId="0" fontId="93" fillId="64" borderId="0" applyNumberFormat="0" applyBorder="0" applyAlignment="0" applyProtection="0"/>
    <xf numFmtId="0" fontId="93" fillId="64" borderId="0" applyNumberFormat="0" applyBorder="0" applyAlignment="0" applyProtection="0"/>
    <xf numFmtId="0" fontId="93" fillId="64" borderId="0" applyNumberFormat="0" applyBorder="0" applyAlignment="0" applyProtection="0"/>
    <xf numFmtId="0" fontId="93" fillId="64" borderId="0" applyNumberFormat="0" applyBorder="0" applyAlignment="0" applyProtection="0"/>
    <xf numFmtId="0" fontId="93" fillId="64" borderId="0" applyNumberFormat="0" applyBorder="0" applyAlignment="0" applyProtection="0"/>
    <xf numFmtId="0" fontId="93" fillId="64" borderId="0" applyNumberFormat="0" applyBorder="0" applyAlignment="0" applyProtection="0"/>
    <xf numFmtId="0" fontId="92" fillId="65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3" fillId="57" borderId="0" applyNumberFormat="0" applyBorder="0" applyAlignment="0" applyProtection="0"/>
    <xf numFmtId="0" fontId="92" fillId="66" borderId="0" applyNumberFormat="0" applyBorder="0" applyAlignment="0" applyProtection="0"/>
    <xf numFmtId="0" fontId="93" fillId="60" borderId="0" applyNumberFormat="0" applyBorder="0" applyAlignment="0" applyProtection="0"/>
    <xf numFmtId="0" fontId="93" fillId="60" borderId="0" applyNumberFormat="0" applyBorder="0" applyAlignment="0" applyProtection="0"/>
    <xf numFmtId="0" fontId="93" fillId="60" borderId="0" applyNumberFormat="0" applyBorder="0" applyAlignment="0" applyProtection="0"/>
    <xf numFmtId="0" fontId="93" fillId="60" borderId="0" applyNumberFormat="0" applyBorder="0" applyAlignment="0" applyProtection="0"/>
    <xf numFmtId="0" fontId="93" fillId="60" borderId="0" applyNumberFormat="0" applyBorder="0" applyAlignment="0" applyProtection="0"/>
    <xf numFmtId="0" fontId="93" fillId="60" borderId="0" applyNumberFormat="0" applyBorder="0" applyAlignment="0" applyProtection="0"/>
    <xf numFmtId="0" fontId="93" fillId="60" borderId="0" applyNumberFormat="0" applyBorder="0" applyAlignment="0" applyProtection="0"/>
    <xf numFmtId="0" fontId="92" fillId="67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241" fontId="103" fillId="0" borderId="0" applyFont="0" applyFill="0" applyBorder="0" applyAlignment="0" applyProtection="0"/>
    <xf numFmtId="242" fontId="58" fillId="0" borderId="0" applyFont="0" applyFill="0" applyBorder="0" applyAlignment="0" applyProtection="0"/>
    <xf numFmtId="243" fontId="104" fillId="0" borderId="0">
      <alignment horizontal="centerContinuous"/>
    </xf>
    <xf numFmtId="244" fontId="105" fillId="68" borderId="0" applyNumberFormat="0" applyFont="0" applyBorder="0" applyAlignment="0">
      <alignment horizontal="right"/>
    </xf>
    <xf numFmtId="245" fontId="9" fillId="43" borderId="36">
      <alignment horizontal="center" vertical="center"/>
    </xf>
    <xf numFmtId="245" fontId="9" fillId="43" borderId="36">
      <alignment horizontal="center" vertical="center"/>
    </xf>
    <xf numFmtId="243" fontId="106" fillId="68" borderId="6" applyFont="0">
      <alignment horizontal="right"/>
    </xf>
    <xf numFmtId="0" fontId="87" fillId="0" borderId="0" applyNumberFormat="0" applyFill="0" applyBorder="0" applyAlignment="0" applyProtection="0"/>
    <xf numFmtId="0" fontId="107" fillId="0" borderId="0" applyNumberFormat="0" applyAlignment="0"/>
    <xf numFmtId="0" fontId="108" fillId="0" borderId="0" applyNumberFormat="0" applyAlignment="0"/>
    <xf numFmtId="0" fontId="109" fillId="0" borderId="0" applyNumberFormat="0" applyAlignment="0"/>
    <xf numFmtId="0" fontId="110" fillId="0" borderId="0" applyNumberFormat="0" applyAlignment="0"/>
    <xf numFmtId="0" fontId="57" fillId="0" borderId="0"/>
    <xf numFmtId="0" fontId="8" fillId="0" borderId="0"/>
    <xf numFmtId="2" fontId="111" fillId="0" borderId="0" applyNumberFormat="0" applyBorder="0" applyAlignment="0"/>
    <xf numFmtId="203" fontId="112" fillId="0" borderId="0">
      <alignment horizontal="left"/>
    </xf>
    <xf numFmtId="246" fontId="113" fillId="0" borderId="0"/>
    <xf numFmtId="231" fontId="114" fillId="0" borderId="0"/>
    <xf numFmtId="247" fontId="58" fillId="0" borderId="0" applyFont="0" applyFill="0" applyBorder="0" applyAlignment="0" applyProtection="0"/>
    <xf numFmtId="0" fontId="56" fillId="0" borderId="0">
      <alignment horizontal="center" wrapText="1"/>
      <protection locked="0"/>
    </xf>
    <xf numFmtId="179" fontId="115" fillId="0" borderId="37">
      <alignment horizontal="right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203" fontId="116" fillId="0" borderId="0" applyNumberFormat="0" applyFont="0" applyFill="0" applyBorder="0" applyAlignment="0"/>
    <xf numFmtId="0" fontId="115" fillId="0" borderId="0" applyNumberFormat="0" applyFill="0" applyBorder="0" applyAlignment="0" applyProtection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179" fontId="115" fillId="0" borderId="37">
      <alignment horizontal="right"/>
    </xf>
    <xf numFmtId="179" fontId="115" fillId="0" borderId="37">
      <alignment horizontal="right"/>
    </xf>
    <xf numFmtId="179" fontId="115" fillId="0" borderId="37">
      <alignment horizontal="right"/>
    </xf>
    <xf numFmtId="179" fontId="115" fillId="0" borderId="37">
      <alignment horizontal="right"/>
    </xf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203" fontId="116" fillId="0" borderId="0" applyNumberFormat="0" applyFont="0" applyFill="0" applyBorder="0" applyAlignment="0"/>
    <xf numFmtId="0" fontId="117" fillId="0" borderId="0">
      <alignment horizontal="left"/>
    </xf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118" fillId="0" borderId="0" applyNumberFormat="0" applyProtection="0"/>
    <xf numFmtId="248" fontId="8" fillId="60" borderId="12" applyNumberFormat="0" applyFont="0" applyAlignment="0" applyProtection="0"/>
    <xf numFmtId="248" fontId="8" fillId="60" borderId="12" applyNumberFormat="0" applyFont="0" applyAlignment="0" applyProtection="0"/>
    <xf numFmtId="249" fontId="60" fillId="0" borderId="28">
      <alignment vertical="top"/>
    </xf>
    <xf numFmtId="249" fontId="60" fillId="0" borderId="28">
      <alignment vertical="top"/>
    </xf>
    <xf numFmtId="0" fontId="63" fillId="0" borderId="0" applyNumberFormat="0" applyFont="0" applyAlignment="0"/>
    <xf numFmtId="0" fontId="63" fillId="0" borderId="0" applyNumberFormat="0" applyFont="0" applyAlignment="0"/>
    <xf numFmtId="0" fontId="119" fillId="69" borderId="0" applyNumberFormat="0" applyBorder="0" applyAlignment="0" applyProtection="0"/>
    <xf numFmtId="0" fontId="120" fillId="49" borderId="0" applyNumberFormat="0" applyBorder="0" applyAlignment="0" applyProtection="0"/>
    <xf numFmtId="0" fontId="120" fillId="49" borderId="0" applyNumberFormat="0" applyBorder="0" applyAlignment="0" applyProtection="0"/>
    <xf numFmtId="0" fontId="120" fillId="49" borderId="0" applyNumberFormat="0" applyBorder="0" applyAlignment="0" applyProtection="0"/>
    <xf numFmtId="0" fontId="120" fillId="49" borderId="0" applyNumberFormat="0" applyBorder="0" applyAlignment="0" applyProtection="0"/>
    <xf numFmtId="0" fontId="120" fillId="49" borderId="0" applyNumberFormat="0" applyBorder="0" applyAlignment="0" applyProtection="0"/>
    <xf numFmtId="0" fontId="120" fillId="49" borderId="0" applyNumberFormat="0" applyBorder="0" applyAlignment="0" applyProtection="0"/>
    <xf numFmtId="0" fontId="120" fillId="49" borderId="0" applyNumberFormat="0" applyBorder="0" applyAlignment="0" applyProtection="0"/>
    <xf numFmtId="0" fontId="8" fillId="0" borderId="0"/>
    <xf numFmtId="250" fontId="56" fillId="0" borderId="0" applyFill="0" applyBorder="0" applyAlignment="0" applyProtection="0">
      <protection locked="0"/>
    </xf>
    <xf numFmtId="248" fontId="56" fillId="0" borderId="0" applyFont="0" applyFill="0" applyBorder="0" applyAlignment="0" applyProtection="0"/>
    <xf numFmtId="1" fontId="121" fillId="70" borderId="7" applyNumberFormat="0" applyBorder="0" applyAlignment="0">
      <alignment horizontal="center" vertical="top" wrapText="1"/>
      <protection hidden="1"/>
    </xf>
    <xf numFmtId="0" fontId="122" fillId="0" borderId="0" applyFont="0" applyFill="0" applyBorder="0" applyAlignment="0" applyProtection="0">
      <alignment vertical="top"/>
    </xf>
    <xf numFmtId="37" fontId="123" fillId="0" borderId="0" applyNumberFormat="0" applyFill="0" applyBorder="0" applyAlignment="0" applyProtection="0"/>
    <xf numFmtId="251" fontId="124" fillId="0" borderId="12" applyFont="0" applyFill="0" applyBorder="0" applyAlignment="0" applyProtection="0"/>
    <xf numFmtId="0" fontId="8" fillId="0" borderId="0" applyNumberFormat="0" applyFill="0" applyBorder="0" applyAlignment="0" applyProtection="0"/>
    <xf numFmtId="203" fontId="85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" fontId="125" fillId="0" borderId="0" applyFill="0" applyBorder="0" applyProtection="0">
      <alignment horizontal="right" wrapText="1"/>
      <protection locked="0"/>
    </xf>
    <xf numFmtId="252" fontId="126" fillId="0" borderId="0" applyFill="0" applyBorder="0" applyProtection="0">
      <alignment horizontal="right"/>
      <protection locked="0"/>
    </xf>
    <xf numFmtId="1" fontId="125" fillId="0" borderId="0" applyFill="0" applyBorder="0" applyProtection="0">
      <alignment horizontal="right" wrapText="1"/>
      <protection locked="0"/>
    </xf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>
      <protection locked="0"/>
    </xf>
    <xf numFmtId="0" fontId="129" fillId="0" borderId="0" applyNumberFormat="0" applyFill="0" applyBorder="0" applyAlignment="0"/>
    <xf numFmtId="0" fontId="130" fillId="0" borderId="0" applyNumberFormat="0" applyFill="0" applyBorder="0" applyAlignment="0" applyProtection="0"/>
    <xf numFmtId="0" fontId="8" fillId="0" borderId="0"/>
    <xf numFmtId="0" fontId="131" fillId="0" borderId="0" applyNumberFormat="0" applyFill="0" applyBorder="0" applyProtection="0">
      <protection locked="0"/>
    </xf>
    <xf numFmtId="252" fontId="132" fillId="0" borderId="0">
      <protection locked="0"/>
    </xf>
    <xf numFmtId="0" fontId="131" fillId="0" borderId="0" applyNumberFormat="0" applyFill="0" applyBorder="0" applyProtection="0">
      <protection locked="0"/>
    </xf>
    <xf numFmtId="0" fontId="133" fillId="61" borderId="39">
      <alignment horizontal="center"/>
    </xf>
    <xf numFmtId="14" fontId="134" fillId="0" borderId="0" applyNumberFormat="0" applyFill="0" applyBorder="0" applyAlignment="0" applyProtection="0">
      <alignment horizontal="center"/>
    </xf>
    <xf numFmtId="253" fontId="56" fillId="0" borderId="0">
      <alignment horizontal="right"/>
    </xf>
    <xf numFmtId="0" fontId="135" fillId="0" borderId="0"/>
    <xf numFmtId="0" fontId="8" fillId="42" borderId="0" applyNumberFormat="0"/>
    <xf numFmtId="203" fontId="114" fillId="0" borderId="0" applyNumberFormat="0" applyFill="0" applyBorder="0" applyAlignment="0" applyProtection="0">
      <protection locked="0"/>
    </xf>
    <xf numFmtId="0" fontId="136" fillId="0" borderId="4" applyNumberFormat="0" applyFill="0" applyAlignment="0" applyProtection="0"/>
    <xf numFmtId="0" fontId="136" fillId="0" borderId="4" applyNumberFormat="0" applyFill="0" applyAlignment="0" applyProtection="0"/>
    <xf numFmtId="0" fontId="136" fillId="0" borderId="4" applyNumberFormat="0" applyFill="0" applyAlignment="0" applyProtection="0"/>
    <xf numFmtId="0" fontId="136" fillId="0" borderId="4" applyNumberFormat="0" applyFill="0" applyAlignment="0" applyProtection="0"/>
    <xf numFmtId="203" fontId="137" fillId="0" borderId="0">
      <alignment vertical="top"/>
    </xf>
    <xf numFmtId="0" fontId="138" fillId="0" borderId="18" applyNumberFormat="0" applyFill="0" applyBorder="0" applyAlignment="0" applyProtection="0">
      <protection locked="0"/>
    </xf>
    <xf numFmtId="203" fontId="139" fillId="0" borderId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40" fillId="45" borderId="0" applyNumberFormat="0" applyBorder="0" applyAlignment="0" applyProtection="0"/>
    <xf numFmtId="0" fontId="141" fillId="71" borderId="0" applyNumberFormat="0" applyBorder="0" applyAlignment="0" applyProtection="0"/>
    <xf numFmtId="0" fontId="141" fillId="71" borderId="0" applyNumberFormat="0" applyBorder="0" applyAlignment="0" applyProtection="0"/>
    <xf numFmtId="0" fontId="141" fillId="71" borderId="0" applyNumberFormat="0" applyBorder="0" applyAlignment="0" applyProtection="0"/>
    <xf numFmtId="0" fontId="141" fillId="71" borderId="0" applyNumberFormat="0" applyBorder="0" applyAlignment="0" applyProtection="0"/>
    <xf numFmtId="0" fontId="141" fillId="71" borderId="0" applyNumberFormat="0" applyBorder="0" applyAlignment="0" applyProtection="0"/>
    <xf numFmtId="4" fontId="142" fillId="0" borderId="0">
      <alignment horizontal="center"/>
      <protection locked="0"/>
    </xf>
    <xf numFmtId="203" fontId="97" fillId="0" borderId="0" applyNumberFormat="0" applyAlignment="0"/>
    <xf numFmtId="212" fontId="8" fillId="0" borderId="2" applyNumberFormat="0" applyFont="0" applyFill="0" applyAlignment="0" applyProtection="0"/>
    <xf numFmtId="212" fontId="8" fillId="0" borderId="2" applyNumberFormat="0" applyFont="0" applyFill="0" applyAlignment="0" applyProtection="0"/>
    <xf numFmtId="0" fontId="56" fillId="0" borderId="37" applyNumberFormat="0" applyFont="0" applyFill="0" applyAlignment="0" applyProtection="0"/>
    <xf numFmtId="0" fontId="56" fillId="0" borderId="37" applyNumberFormat="0" applyFont="0" applyFill="0" applyAlignment="0" applyProtection="0"/>
    <xf numFmtId="0" fontId="56" fillId="0" borderId="37" applyNumberFormat="0" applyFont="0" applyFill="0" applyAlignment="0" applyProtection="0"/>
    <xf numFmtId="0" fontId="56" fillId="0" borderId="37" applyNumberFormat="0" applyFont="0" applyFill="0" applyAlignment="0" applyProtection="0"/>
    <xf numFmtId="0" fontId="56" fillId="0" borderId="40" applyNumberFormat="0" applyFont="0" applyFill="0" applyAlignment="0" applyProtection="0"/>
    <xf numFmtId="0" fontId="56" fillId="0" borderId="40" applyNumberFormat="0" applyFont="0" applyFill="0" applyAlignment="0" applyProtection="0"/>
    <xf numFmtId="0" fontId="56" fillId="0" borderId="41" applyNumberFormat="0" applyFont="0" applyFill="0" applyAlignment="0" applyProtection="0"/>
    <xf numFmtId="0" fontId="56" fillId="0" borderId="41" applyNumberFormat="0" applyFont="0" applyFill="0" applyAlignment="0" applyProtection="0"/>
    <xf numFmtId="0" fontId="56" fillId="0" borderId="41" applyNumberFormat="0" applyFont="0" applyFill="0" applyAlignment="0" applyProtection="0"/>
    <xf numFmtId="0" fontId="56" fillId="0" borderId="41" applyNumberFormat="0" applyFont="0" applyFill="0" applyAlignment="0" applyProtection="0"/>
    <xf numFmtId="254" fontId="143" fillId="0" borderId="0">
      <alignment horizontal="right"/>
    </xf>
    <xf numFmtId="203" fontId="144" fillId="0" borderId="0" applyFont="0">
      <alignment horizontal="centerContinuous"/>
    </xf>
    <xf numFmtId="0" fontId="8" fillId="0" borderId="4" applyNumberFormat="0" applyFont="0" applyFill="0" applyAlignment="0" applyProtection="0"/>
    <xf numFmtId="0" fontId="8" fillId="0" borderId="4" applyNumberFormat="0" applyFont="0" applyFill="0" applyAlignment="0" applyProtection="0"/>
    <xf numFmtId="0" fontId="8" fillId="0" borderId="4" applyNumberFormat="0" applyFont="0" applyFill="0" applyAlignment="0" applyProtection="0"/>
    <xf numFmtId="0" fontId="8" fillId="0" borderId="4" applyNumberFormat="0" applyFont="0" applyFill="0" applyAlignment="0" applyProtection="0"/>
    <xf numFmtId="0" fontId="8" fillId="0" borderId="4" applyNumberFormat="0" applyFont="0" applyFill="0" applyAlignment="0" applyProtection="0"/>
    <xf numFmtId="0" fontId="8" fillId="0" borderId="4" applyNumberFormat="0" applyFont="0" applyFill="0" applyAlignment="0" applyProtection="0"/>
    <xf numFmtId="0" fontId="8" fillId="0" borderId="4" applyNumberFormat="0" applyFont="0" applyFill="0" applyAlignment="0" applyProtection="0"/>
    <xf numFmtId="0" fontId="8" fillId="0" borderId="4" applyNumberFormat="0" applyFont="0" applyFill="0" applyAlignment="0" applyProtection="0"/>
    <xf numFmtId="0" fontId="8" fillId="0" borderId="7" applyNumberFormat="0" applyFont="0" applyFill="0" applyAlignment="0" applyProtection="0"/>
    <xf numFmtId="0" fontId="8" fillId="0" borderId="7" applyNumberFormat="0" applyFont="0" applyFill="0" applyAlignment="0" applyProtection="0"/>
    <xf numFmtId="0" fontId="8" fillId="0" borderId="18" applyNumberFormat="0" applyFont="0" applyFill="0" applyAlignment="0" applyProtection="0"/>
    <xf numFmtId="0" fontId="8" fillId="0" borderId="18" applyNumberFormat="0" applyFont="0" applyFill="0" applyAlignment="0" applyProtection="0"/>
    <xf numFmtId="0" fontId="8" fillId="0" borderId="2" applyNumberFormat="0" applyFont="0" applyFill="0" applyAlignment="0" applyProtection="0"/>
    <xf numFmtId="0" fontId="8" fillId="0" borderId="2" applyNumberFormat="0" applyFont="0" applyFill="0" applyAlignment="0" applyProtection="0"/>
    <xf numFmtId="179" fontId="72" fillId="0" borderId="2" applyAlignment="0" applyProtection="0"/>
    <xf numFmtId="255" fontId="116" fillId="0" borderId="0">
      <alignment horizontal="right"/>
    </xf>
    <xf numFmtId="255" fontId="116" fillId="0" borderId="0">
      <alignment horizontal="right"/>
    </xf>
    <xf numFmtId="0" fontId="145" fillId="0" borderId="42" applyFill="0" applyProtection="0">
      <alignment horizontal="right"/>
    </xf>
    <xf numFmtId="37" fontId="146" fillId="0" borderId="0" applyNumberFormat="0" applyFill="0" applyBorder="0" applyAlignment="0" applyProtection="0">
      <alignment horizontal="center"/>
    </xf>
    <xf numFmtId="256" fontId="87" fillId="0" borderId="0"/>
    <xf numFmtId="256" fontId="87" fillId="0" borderId="0"/>
    <xf numFmtId="257" fontId="147" fillId="0" borderId="0" applyFont="0" applyFill="0" applyBorder="0" applyAlignment="0" applyProtection="0"/>
    <xf numFmtId="258" fontId="63" fillId="0" borderId="0">
      <alignment horizontal="right"/>
    </xf>
    <xf numFmtId="0" fontId="140" fillId="45" borderId="0" applyNumberFormat="0" applyBorder="0" applyAlignment="0" applyProtection="0"/>
    <xf numFmtId="250" fontId="83" fillId="0" borderId="0" applyFont="0" applyFill="0" applyBorder="0" applyAlignment="0" applyProtection="0"/>
    <xf numFmtId="0" fontId="148" fillId="0" borderId="0" applyNumberFormat="0" applyFill="0" applyBorder="0" applyAlignment="0" applyProtection="0"/>
    <xf numFmtId="0" fontId="149" fillId="0" borderId="0"/>
    <xf numFmtId="259" fontId="8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255" fontId="8" fillId="0" borderId="0"/>
    <xf numFmtId="255" fontId="8" fillId="0" borderId="0"/>
    <xf numFmtId="0" fontId="87" fillId="0" borderId="0"/>
    <xf numFmtId="0" fontId="150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2" fontId="87" fillId="72" borderId="0" applyNumberFormat="0" applyFont="0" applyBorder="0" applyAlignment="0" applyProtection="0"/>
    <xf numFmtId="0" fontId="8" fillId="0" borderId="0" applyFill="0" applyBorder="0" applyAlignment="0"/>
    <xf numFmtId="0" fontId="152" fillId="73" borderId="23" applyNumberFormat="0" applyAlignment="0" applyProtection="0"/>
    <xf numFmtId="0" fontId="153" fillId="41" borderId="43" applyNumberFormat="0" applyAlignment="0" applyProtection="0"/>
    <xf numFmtId="0" fontId="153" fillId="41" borderId="43" applyNumberFormat="0" applyAlignment="0" applyProtection="0"/>
    <xf numFmtId="0" fontId="153" fillId="41" borderId="43" applyNumberFormat="0" applyAlignment="0" applyProtection="0"/>
    <xf numFmtId="0" fontId="153" fillId="41" borderId="43" applyNumberFormat="0" applyAlignment="0" applyProtection="0"/>
    <xf numFmtId="0" fontId="153" fillId="41" borderId="43" applyNumberFormat="0" applyAlignment="0" applyProtection="0"/>
    <xf numFmtId="0" fontId="153" fillId="41" borderId="43" applyNumberFormat="0" applyAlignment="0" applyProtection="0"/>
    <xf numFmtId="0" fontId="153" fillId="41" borderId="43" applyNumberFormat="0" applyAlignment="0" applyProtection="0"/>
    <xf numFmtId="0" fontId="154" fillId="41" borderId="43" applyNumberFormat="0" applyAlignment="0" applyProtection="0"/>
    <xf numFmtId="0" fontId="155" fillId="73" borderId="23" applyNumberFormat="0" applyAlignment="0" applyProtection="0"/>
    <xf numFmtId="0" fontId="155" fillId="73" borderId="23" applyNumberFormat="0" applyAlignment="0" applyProtection="0"/>
    <xf numFmtId="0" fontId="155" fillId="73" borderId="23" applyNumberFormat="0" applyAlignment="0" applyProtection="0"/>
    <xf numFmtId="0" fontId="155" fillId="73" borderId="23" applyNumberFormat="0" applyAlignment="0" applyProtection="0"/>
    <xf numFmtId="0" fontId="155" fillId="73" borderId="23" applyNumberFormat="0" applyAlignment="0" applyProtection="0"/>
    <xf numFmtId="217" fontId="87" fillId="74" borderId="0" applyNumberFormat="0" applyFont="0" applyBorder="0" applyAlignment="0">
      <protection locked="0"/>
    </xf>
    <xf numFmtId="203" fontId="56" fillId="74" borderId="0" applyNumberFormat="0" applyFont="0" applyBorder="0" applyAlignment="0"/>
    <xf numFmtId="250" fontId="56" fillId="0" borderId="0" applyFont="0" applyFill="0" applyBorder="0" applyAlignment="0" applyProtection="0">
      <protection locked="0"/>
    </xf>
    <xf numFmtId="248" fontId="125" fillId="0" borderId="0" applyFont="0" applyFill="0" applyBorder="0" applyAlignment="0" applyProtection="0"/>
    <xf numFmtId="0" fontId="156" fillId="46" borderId="44" applyNumberFormat="0" applyAlignment="0" applyProtection="0"/>
    <xf numFmtId="0" fontId="157" fillId="0" borderId="45" applyNumberFormat="0" applyFill="0" applyAlignment="0" applyProtection="0"/>
    <xf numFmtId="0" fontId="156" fillId="46" borderId="44" applyNumberFormat="0" applyAlignment="0" applyProtection="0"/>
    <xf numFmtId="0" fontId="4" fillId="75" borderId="25" applyNumberFormat="0" applyAlignment="0" applyProtection="0"/>
    <xf numFmtId="0" fontId="4" fillId="75" borderId="25" applyNumberFormat="0" applyAlignment="0" applyProtection="0"/>
    <xf numFmtId="0" fontId="4" fillId="75" borderId="25" applyNumberFormat="0" applyAlignment="0" applyProtection="0"/>
    <xf numFmtId="0" fontId="4" fillId="75" borderId="25" applyNumberFormat="0" applyAlignment="0" applyProtection="0"/>
    <xf numFmtId="0" fontId="4" fillId="75" borderId="25" applyNumberFormat="0" applyAlignment="0" applyProtection="0"/>
    <xf numFmtId="0" fontId="157" fillId="0" borderId="45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158" fillId="0" borderId="26" applyNumberFormat="0" applyFill="0" applyAlignment="0" applyProtection="0"/>
    <xf numFmtId="0" fontId="52" fillId="0" borderId="0">
      <alignment horizontal="centerContinuous"/>
    </xf>
    <xf numFmtId="0" fontId="63" fillId="0" borderId="0" applyNumberFormat="0" applyFont="0" applyFill="0" applyBorder="0" applyProtection="0">
      <alignment horizontal="center" vertical="center" wrapText="1"/>
    </xf>
    <xf numFmtId="0" fontId="54" fillId="0" borderId="0">
      <alignment horizontal="right"/>
    </xf>
    <xf numFmtId="260" fontId="8" fillId="0" borderId="0"/>
    <xf numFmtId="1" fontId="159" fillId="0" borderId="0"/>
    <xf numFmtId="0" fontId="160" fillId="75" borderId="25" applyNumberFormat="0" applyAlignment="0" applyProtection="0"/>
    <xf numFmtId="0" fontId="156" fillId="76" borderId="44" applyNumberFormat="0" applyAlignment="0" applyProtection="0"/>
    <xf numFmtId="0" fontId="156" fillId="76" borderId="44" applyNumberFormat="0" applyAlignment="0" applyProtection="0"/>
    <xf numFmtId="0" fontId="156" fillId="76" borderId="44" applyNumberFormat="0" applyAlignment="0" applyProtection="0"/>
    <xf numFmtId="0" fontId="156" fillId="76" borderId="44" applyNumberFormat="0" applyAlignment="0" applyProtection="0"/>
    <xf numFmtId="0" fontId="156" fillId="76" borderId="44" applyNumberFormat="0" applyAlignment="0" applyProtection="0"/>
    <xf numFmtId="0" fontId="156" fillId="76" borderId="44" applyNumberFormat="0" applyAlignment="0" applyProtection="0"/>
    <xf numFmtId="0" fontId="156" fillId="76" borderId="44" applyNumberFormat="0" applyAlignment="0" applyProtection="0"/>
    <xf numFmtId="0" fontId="52" fillId="0" borderId="0"/>
    <xf numFmtId="37" fontId="52" fillId="77" borderId="0"/>
    <xf numFmtId="1" fontId="161" fillId="0" borderId="0">
      <protection locked="0"/>
    </xf>
    <xf numFmtId="0" fontId="162" fillId="0" borderId="0">
      <alignment horizontal="centerContinuous"/>
    </xf>
    <xf numFmtId="0" fontId="87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217" fontId="165" fillId="0" borderId="0" applyNumberFormat="0" applyFill="0" applyBorder="0" applyProtection="0">
      <alignment horizontal="right"/>
    </xf>
    <xf numFmtId="49" fontId="166" fillId="0" borderId="0">
      <alignment horizontal="right" vertical="center"/>
    </xf>
    <xf numFmtId="49" fontId="167" fillId="0" borderId="0">
      <alignment horizontal="right" vertical="center"/>
    </xf>
    <xf numFmtId="0" fontId="168" fillId="0" borderId="4" applyNumberFormat="0" applyFill="0" applyBorder="0" applyAlignment="0" applyProtection="0">
      <alignment horizontal="center"/>
    </xf>
    <xf numFmtId="0" fontId="168" fillId="0" borderId="4" applyNumberFormat="0" applyFill="0" applyBorder="0" applyAlignment="0" applyProtection="0">
      <alignment horizontal="center"/>
    </xf>
    <xf numFmtId="0" fontId="168" fillId="0" borderId="4" applyNumberFormat="0" applyFill="0" applyBorder="0" applyAlignment="0" applyProtection="0">
      <alignment horizontal="center"/>
    </xf>
    <xf numFmtId="0" fontId="168" fillId="0" borderId="4" applyNumberFormat="0" applyFill="0" applyBorder="0" applyAlignment="0" applyProtection="0">
      <alignment horizontal="center"/>
    </xf>
    <xf numFmtId="0" fontId="169" fillId="0" borderId="4" applyNumberFormat="0" applyFill="0" applyProtection="0">
      <alignment horizontal="left" vertical="center"/>
    </xf>
    <xf numFmtId="0" fontId="77" fillId="0" borderId="0">
      <alignment horizontal="center" wrapText="1"/>
      <protection hidden="1"/>
    </xf>
    <xf numFmtId="0" fontId="170" fillId="78" borderId="0"/>
    <xf numFmtId="0" fontId="171" fillId="79" borderId="0"/>
    <xf numFmtId="0" fontId="172" fillId="0" borderId="0" applyNumberFormat="0" applyFill="0" applyBorder="0" applyProtection="0">
      <alignment horizontal="right"/>
    </xf>
    <xf numFmtId="261" fontId="171" fillId="0" borderId="0" applyBorder="0">
      <alignment horizontal="right"/>
    </xf>
    <xf numFmtId="261" fontId="171" fillId="0" borderId="37" applyAlignment="0">
      <alignment horizontal="right"/>
    </xf>
    <xf numFmtId="261" fontId="171" fillId="0" borderId="37" applyAlignment="0">
      <alignment horizontal="right"/>
    </xf>
    <xf numFmtId="261" fontId="171" fillId="0" borderId="37" applyAlignment="0">
      <alignment horizontal="right"/>
    </xf>
    <xf numFmtId="261" fontId="171" fillId="0" borderId="37" applyAlignment="0">
      <alignment horizontal="right"/>
    </xf>
    <xf numFmtId="262" fontId="97" fillId="0" borderId="0">
      <alignment horizontal="right"/>
    </xf>
    <xf numFmtId="263" fontId="173" fillId="0" borderId="0" applyFont="0" applyFill="0" applyBorder="0" applyAlignment="0" applyProtection="0"/>
    <xf numFmtId="0" fontId="8" fillId="0" borderId="0"/>
    <xf numFmtId="264" fontId="174" fillId="0" borderId="0"/>
    <xf numFmtId="264" fontId="174" fillId="0" borderId="0"/>
    <xf numFmtId="264" fontId="174" fillId="0" borderId="0"/>
    <xf numFmtId="264" fontId="174" fillId="0" borderId="0"/>
    <xf numFmtId="264" fontId="174" fillId="0" borderId="0"/>
    <xf numFmtId="264" fontId="174" fillId="0" borderId="0"/>
    <xf numFmtId="264" fontId="174" fillId="0" borderId="0"/>
    <xf numFmtId="264" fontId="174" fillId="0" borderId="0"/>
    <xf numFmtId="246" fontId="56" fillId="0" borderId="0"/>
    <xf numFmtId="38" fontId="175" fillId="0" borderId="0">
      <alignment horizontal="center"/>
      <protection locked="0"/>
    </xf>
    <xf numFmtId="248" fontId="56" fillId="0" borderId="0" applyFont="0" applyFill="0" applyBorder="0" applyAlignment="0" applyProtection="0"/>
    <xf numFmtId="40" fontId="125" fillId="0" borderId="0" applyFont="0" applyFill="0" applyBorder="0" applyAlignment="0" applyProtection="0">
      <alignment horizontal="center"/>
    </xf>
    <xf numFmtId="40" fontId="125" fillId="0" borderId="0" applyFont="0" applyFill="0" applyBorder="0" applyAlignment="0" applyProtection="0">
      <alignment horizontal="center"/>
    </xf>
    <xf numFmtId="265" fontId="125" fillId="0" borderId="0" applyFont="0" applyFill="0" applyBorder="0" applyAlignment="0" applyProtection="0">
      <alignment horizontal="center"/>
    </xf>
    <xf numFmtId="265" fontId="125" fillId="0" borderId="0" applyFont="0" applyFill="0" applyBorder="0" applyAlignment="0" applyProtection="0">
      <alignment horizontal="center"/>
    </xf>
    <xf numFmtId="260" fontId="176" fillId="0" borderId="0" applyFont="0" applyFill="0" applyBorder="0" applyProtection="0">
      <alignment horizontal="right"/>
    </xf>
    <xf numFmtId="266" fontId="63" fillId="0" borderId="0" applyFont="0" applyFill="0" applyBorder="0" applyAlignment="0" applyProtection="0">
      <alignment horizontal="right"/>
    </xf>
    <xf numFmtId="267" fontId="111" fillId="0" borderId="0" applyFont="0" applyFill="0" applyBorder="0" applyAlignment="0" applyProtection="0"/>
    <xf numFmtId="268" fontId="111" fillId="0" borderId="0" applyFill="0" applyBorder="0" applyProtection="0"/>
    <xf numFmtId="206" fontId="77" fillId="0" borderId="0" applyFont="0" applyFill="0" applyBorder="0" applyAlignment="0" applyProtection="0"/>
    <xf numFmtId="197" fontId="59" fillId="0" borderId="0" applyFont="0" applyFill="0" applyBorder="0" applyAlignment="0" applyProtection="0"/>
    <xf numFmtId="269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270" fontId="63" fillId="0" borderId="0" applyFont="0" applyFill="0" applyBorder="0" applyAlignment="0" applyProtection="0">
      <alignment horizontal="right"/>
    </xf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271" fontId="102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223" fontId="17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272" fontId="102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179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80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177" fillId="0" borderId="0" applyFont="0" applyFill="0" applyBorder="0" applyAlignment="0" applyProtection="0"/>
    <xf numFmtId="40" fontId="8" fillId="0" borderId="0" applyFont="0" applyFill="0" applyBorder="0" applyProtection="0">
      <alignment horizontal="right"/>
    </xf>
    <xf numFmtId="40" fontId="8" fillId="0" borderId="0" applyFont="0" applyFill="0" applyBorder="0" applyProtection="0">
      <alignment horizontal="right"/>
    </xf>
    <xf numFmtId="273" fontId="53" fillId="0" borderId="4" applyFont="0" applyFill="0" applyBorder="0" applyAlignment="0" applyProtection="0"/>
    <xf numFmtId="273" fontId="124" fillId="0" borderId="0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73" fontId="53" fillId="0" borderId="4" applyFont="0" applyFill="0" applyBorder="0" applyAlignment="0" applyProtection="0"/>
    <xf numFmtId="265" fontId="53" fillId="0" borderId="4" applyFont="0" applyFill="0" applyBorder="0" applyAlignment="0" applyProtection="0"/>
    <xf numFmtId="274" fontId="181" fillId="0" borderId="0" applyFont="0" applyFill="0" applyBorder="0" applyAlignment="0" applyProtection="0">
      <protection locked="0"/>
    </xf>
    <xf numFmtId="37" fontId="56" fillId="0" borderId="0" applyFill="0" applyBorder="0" applyAlignment="0" applyProtection="0"/>
    <xf numFmtId="37" fontId="56" fillId="0" borderId="0" applyFill="0" applyBorder="0" applyAlignment="0" applyProtection="0"/>
    <xf numFmtId="275" fontId="182" fillId="0" borderId="0" applyFont="0" applyFill="0" applyBorder="0">
      <alignment horizontal="right"/>
    </xf>
    <xf numFmtId="276" fontId="183" fillId="0" borderId="0" applyFont="0" applyFill="0" applyBorder="0" applyAlignment="0"/>
    <xf numFmtId="277" fontId="182" fillId="0" borderId="0" applyFont="0" applyFill="0" applyBorder="0" applyAlignment="0"/>
    <xf numFmtId="278" fontId="184" fillId="0" borderId="2" applyFont="0" applyFill="0" applyBorder="0" applyAlignment="0"/>
    <xf numFmtId="0" fontId="184" fillId="0" borderId="2" applyFont="0" applyFill="0" applyBorder="0" applyAlignment="0"/>
    <xf numFmtId="279" fontId="102" fillId="0" borderId="0" applyFont="0" applyFill="0" applyBorder="0" applyAlignment="0" applyProtection="0"/>
    <xf numFmtId="212" fontId="87" fillId="0" borderId="0"/>
    <xf numFmtId="280" fontId="8" fillId="0" borderId="0">
      <protection locked="0"/>
    </xf>
    <xf numFmtId="0" fontId="185" fillId="0" borderId="0"/>
    <xf numFmtId="0" fontId="8" fillId="0" borderId="0"/>
    <xf numFmtId="206" fontId="186" fillId="0" borderId="0" applyFont="0" applyFill="0" applyBorder="0" applyAlignment="0" applyProtection="0"/>
    <xf numFmtId="0" fontId="185" fillId="0" borderId="0"/>
    <xf numFmtId="0" fontId="8" fillId="0" borderId="0"/>
    <xf numFmtId="40" fontId="59" fillId="0" borderId="0" applyFont="0" applyFill="0" applyBorder="0" applyAlignment="0" applyProtection="0"/>
    <xf numFmtId="281" fontId="97" fillId="0" borderId="0">
      <alignment horizontal="right"/>
    </xf>
    <xf numFmtId="282" fontId="56" fillId="0" borderId="0" applyFont="0" applyFill="0" applyBorder="0" applyAlignment="0" applyProtection="0"/>
    <xf numFmtId="237" fontId="63" fillId="0" borderId="0">
      <alignment horizontal="right"/>
    </xf>
    <xf numFmtId="3" fontId="187" fillId="0" borderId="0"/>
    <xf numFmtId="263" fontId="187" fillId="0" borderId="0"/>
    <xf numFmtId="2" fontId="187" fillId="0" borderId="0"/>
    <xf numFmtId="0" fontId="188" fillId="0" borderId="0"/>
    <xf numFmtId="0" fontId="189" fillId="80" borderId="0">
      <alignment horizontal="center" vertical="center" wrapText="1"/>
    </xf>
    <xf numFmtId="0" fontId="190" fillId="0" borderId="0" applyNumberFormat="0" applyFill="0" applyBorder="0">
      <alignment horizontal="right"/>
    </xf>
    <xf numFmtId="203" fontId="191" fillId="0" borderId="0" applyFill="0" applyBorder="0">
      <alignment horizontal="left"/>
    </xf>
    <xf numFmtId="38" fontId="192" fillId="0" borderId="0" applyNumberFormat="0" applyFill="0" applyBorder="0">
      <alignment vertical="center"/>
    </xf>
    <xf numFmtId="37" fontId="193" fillId="53" borderId="12">
      <alignment horizontal="right"/>
    </xf>
    <xf numFmtId="0" fontId="8" fillId="0" borderId="0" applyNumberFormat="0" applyAlignment="0">
      <alignment horizontal="left"/>
    </xf>
    <xf numFmtId="0" fontId="63" fillId="0" borderId="0"/>
    <xf numFmtId="283" fontId="8" fillId="0" borderId="0" applyFont="0" applyFill="0" applyBorder="0" applyAlignment="0" applyProtection="0"/>
    <xf numFmtId="0" fontId="194" fillId="0" borderId="0">
      <alignment horizontal="left"/>
    </xf>
    <xf numFmtId="0" fontId="195" fillId="0" borderId="0"/>
    <xf numFmtId="0" fontId="196" fillId="0" borderId="0">
      <alignment horizontal="left"/>
    </xf>
    <xf numFmtId="273" fontId="8" fillId="0" borderId="0" applyFont="0" applyFill="0" applyBorder="0" applyAlignment="0" applyProtection="0"/>
    <xf numFmtId="284" fontId="197" fillId="0" borderId="0"/>
    <xf numFmtId="285" fontId="77" fillId="0" borderId="0" applyFont="0" applyFill="0" applyBorder="0" applyAlignment="0" applyProtection="0"/>
    <xf numFmtId="286" fontId="8" fillId="0" borderId="0" applyFill="0" applyBorder="0">
      <alignment horizontal="right"/>
      <protection locked="0"/>
    </xf>
    <xf numFmtId="287" fontId="124" fillId="0" borderId="0" applyFont="0" applyFill="0" applyBorder="0" applyAlignment="0" applyProtection="0"/>
    <xf numFmtId="0" fontId="56" fillId="0" borderId="0" applyFont="0" applyFill="0" applyBorder="0" applyAlignment="0" applyProtection="0">
      <protection locked="0"/>
    </xf>
    <xf numFmtId="288" fontId="63" fillId="0" borderId="0" applyFont="0" applyFill="0" applyBorder="0" applyAlignment="0" applyProtection="0">
      <protection locked="0"/>
    </xf>
    <xf numFmtId="0" fontId="56" fillId="0" borderId="0"/>
    <xf numFmtId="0" fontId="83" fillId="0" borderId="0"/>
    <xf numFmtId="183" fontId="53" fillId="0" borderId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8" fontId="198" fillId="0" borderId="46">
      <protection locked="0"/>
    </xf>
    <xf numFmtId="178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6" fillId="0" borderId="0" applyFont="0" applyFill="0" applyBorder="0" applyProtection="0">
      <alignment horizontal="right"/>
    </xf>
    <xf numFmtId="289" fontId="63" fillId="0" borderId="0" applyFont="0" applyFill="0" applyBorder="0" applyAlignment="0" applyProtection="0">
      <alignment horizontal="right"/>
    </xf>
    <xf numFmtId="0" fontId="63" fillId="0" borderId="0" applyFont="0" applyFill="0" applyBorder="0" applyAlignment="0" applyProtection="0">
      <alignment horizontal="right"/>
    </xf>
    <xf numFmtId="290" fontId="59" fillId="0" borderId="5" applyBorder="0"/>
    <xf numFmtId="291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292" fontId="63" fillId="0" borderId="0" applyFont="0" applyFill="0" applyBorder="0" applyAlignment="0" applyProtection="0"/>
    <xf numFmtId="0" fontId="63" fillId="0" borderId="0" applyFont="0" applyFill="0" applyBorder="0" applyAlignment="0" applyProtection="0">
      <alignment horizontal="right"/>
    </xf>
    <xf numFmtId="0" fontId="199" fillId="0" borderId="0" applyFont="0" applyFill="0" applyBorder="0" applyAlignment="0" applyProtection="0"/>
    <xf numFmtId="0" fontId="102" fillId="0" borderId="0" applyFont="0" applyFill="0" applyBorder="0" applyAlignment="0" applyProtection="0">
      <alignment horizontal="right"/>
    </xf>
    <xf numFmtId="293" fontId="178" fillId="0" borderId="0" applyFont="0" applyFill="0" applyBorder="0" applyAlignment="0" applyProtection="0"/>
    <xf numFmtId="0" fontId="199" fillId="0" borderId="0" applyFont="0" applyFill="0" applyBorder="0" applyAlignment="0" applyProtection="0"/>
    <xf numFmtId="0" fontId="59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0" fontId="53" fillId="0" borderId="4" applyFont="0" applyFill="0" applyBorder="0" applyAlignment="0" applyProtection="0"/>
    <xf numFmtId="0" fontId="53" fillId="0" borderId="4" applyFont="0" applyFill="0" applyBorder="0" applyAlignment="0" applyProtection="0"/>
    <xf numFmtId="0" fontId="53" fillId="0" borderId="4" applyFont="0" applyFill="0" applyBorder="0" applyAlignment="0" applyProtection="0"/>
    <xf numFmtId="0" fontId="53" fillId="0" borderId="4" applyFont="0" applyFill="0" applyBorder="0" applyAlignment="0" applyProtection="0"/>
    <xf numFmtId="0" fontId="53" fillId="0" borderId="4" applyFont="0" applyFill="0" applyBorder="0" applyAlignment="0" applyProtection="0"/>
    <xf numFmtId="0" fontId="53" fillId="0" borderId="4" applyFont="0" applyFill="0" applyBorder="0" applyAlignment="0" applyProtection="0"/>
    <xf numFmtId="0" fontId="53" fillId="0" borderId="4" applyFont="0" applyFill="0" applyBorder="0" applyAlignment="0" applyProtection="0"/>
    <xf numFmtId="0" fontId="53" fillId="0" borderId="4" applyFont="0" applyFill="0" applyBorder="0" applyAlignment="0" applyProtection="0"/>
    <xf numFmtId="0" fontId="56" fillId="0" borderId="0" applyFill="0" applyBorder="0" applyAlignment="0" applyProtection="0"/>
    <xf numFmtId="0" fontId="56" fillId="0" borderId="0" applyFill="0" applyBorder="0" applyAlignment="0" applyProtection="0"/>
    <xf numFmtId="215" fontId="97" fillId="0" borderId="0" applyFont="0" applyFill="0" applyBorder="0" applyProtection="0">
      <alignment horizontal="right"/>
    </xf>
    <xf numFmtId="294" fontId="200" fillId="0" borderId="0" applyFont="0" applyFill="0" applyBorder="0"/>
    <xf numFmtId="295" fontId="201" fillId="0" borderId="0" applyFont="0" applyFill="0" applyBorder="0" applyAlignment="0"/>
    <xf numFmtId="296" fontId="202" fillId="0" borderId="4" applyFont="0" applyFill="0" applyBorder="0" applyAlignment="0"/>
    <xf numFmtId="296" fontId="202" fillId="0" borderId="4" applyFont="0" applyFill="0" applyBorder="0" applyAlignment="0"/>
    <xf numFmtId="296" fontId="202" fillId="0" borderId="4" applyFont="0" applyFill="0" applyBorder="0" applyAlignment="0"/>
    <xf numFmtId="296" fontId="202" fillId="0" borderId="4" applyFont="0" applyFill="0" applyBorder="0" applyAlignment="0"/>
    <xf numFmtId="0" fontId="102" fillId="0" borderId="0" applyFont="0" applyFill="0" applyBorder="0" applyAlignment="0" applyProtection="0"/>
    <xf numFmtId="280" fontId="8" fillId="0" borderId="0">
      <protection locked="0"/>
    </xf>
    <xf numFmtId="0" fontId="203" fillId="0" borderId="0" applyFont="0" applyFill="0" applyBorder="0" applyAlignment="0" applyProtection="0"/>
    <xf numFmtId="0" fontId="204" fillId="0" borderId="47" applyFont="0" applyFill="0" applyBorder="0" applyAlignment="0" applyProtection="0">
      <alignment horizontal="right"/>
    </xf>
    <xf numFmtId="297" fontId="102" fillId="0" borderId="0" applyFill="0" applyBorder="0" applyProtection="0">
      <alignment vertical="center"/>
    </xf>
    <xf numFmtId="0" fontId="56" fillId="0" borderId="0" applyFont="0" applyFill="0" applyBorder="0" applyAlignment="0" applyProtection="0"/>
    <xf numFmtId="298" fontId="59" fillId="0" borderId="0" applyFill="0" applyBorder="0">
      <alignment horizontal="right"/>
    </xf>
    <xf numFmtId="0" fontId="8" fillId="41" borderId="0" applyFont="0" applyBorder="0"/>
    <xf numFmtId="0" fontId="205" fillId="0" borderId="0" applyFont="0" applyFill="0" applyBorder="0" applyAlignment="0" applyProtection="0">
      <alignment vertical="center"/>
      <protection locked="0"/>
    </xf>
    <xf numFmtId="0" fontId="205" fillId="0" borderId="0" applyFont="0" applyFill="0" applyBorder="0" applyAlignment="0" applyProtection="0">
      <alignment vertical="center"/>
      <protection locked="0"/>
    </xf>
    <xf numFmtId="0" fontId="205" fillId="0" borderId="0" applyFont="0" applyFill="0" applyBorder="0" applyAlignment="0" applyProtection="0">
      <alignment vertical="center"/>
      <protection locked="0"/>
    </xf>
    <xf numFmtId="299" fontId="55" fillId="41" borderId="18">
      <alignment horizontal="right"/>
    </xf>
    <xf numFmtId="0" fontId="52" fillId="81" borderId="0"/>
    <xf numFmtId="0" fontId="83" fillId="0" borderId="0" applyFont="0" applyFill="0" applyBorder="0" applyAlignment="0" applyProtection="0"/>
    <xf numFmtId="2" fontId="181" fillId="0" borderId="0" applyNumberFormat="0" applyFill="0" applyBorder="0" applyAlignment="0" applyProtection="0">
      <protection locked="0"/>
    </xf>
    <xf numFmtId="178" fontId="206" fillId="0" borderId="0" applyNumberFormat="0" applyFill="0" applyBorder="0" applyAlignment="0"/>
    <xf numFmtId="2" fontId="75" fillId="0" borderId="0" applyNumberFormat="0" applyFill="0" applyBorder="0" applyProtection="0">
      <alignment horizontal="left"/>
    </xf>
    <xf numFmtId="38" fontId="128" fillId="45" borderId="48">
      <protection locked="0"/>
    </xf>
    <xf numFmtId="0" fontId="207" fillId="0" borderId="0"/>
    <xf numFmtId="0" fontId="52" fillId="0" borderId="0"/>
    <xf numFmtId="0" fontId="208" fillId="0" borderId="0" applyNumberFormat="0" applyAlignment="0"/>
    <xf numFmtId="14" fontId="209" fillId="0" borderId="0">
      <alignment horizontal="right"/>
    </xf>
    <xf numFmtId="17" fontId="171" fillId="0" borderId="0" applyFill="0" applyBorder="0">
      <alignment horizontal="right"/>
    </xf>
    <xf numFmtId="17" fontId="171" fillId="0" borderId="0" applyFill="0" applyBorder="0">
      <alignment horizontal="right"/>
    </xf>
    <xf numFmtId="0" fontId="210" fillId="0" borderId="0" applyFont="0" applyFill="0" applyBorder="0" applyAlignment="0" applyProtection="0"/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203" fontId="56" fillId="0" borderId="0" applyFont="0" applyFill="0" applyBorder="0" applyProtection="0">
      <alignment horizontal="right"/>
    </xf>
    <xf numFmtId="30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211" fillId="0" borderId="0"/>
    <xf numFmtId="14" fontId="87" fillId="0" borderId="0" applyFont="0" applyFill="0" applyBorder="0" applyAlignment="0" applyProtection="0"/>
    <xf numFmtId="14" fontId="87" fillId="0" borderId="0" applyFont="0" applyFill="0" applyBorder="0" applyAlignment="0" applyProtection="0"/>
    <xf numFmtId="17" fontId="144" fillId="0" borderId="2" applyFont="0" applyFill="0" applyBorder="0" applyAlignment="0" applyProtection="0"/>
    <xf numFmtId="0" fontId="56" fillId="0" borderId="0" applyFont="0" applyFill="0" applyBorder="0" applyProtection="0">
      <alignment horizontal="right"/>
    </xf>
    <xf numFmtId="14" fontId="8" fillId="0" borderId="0">
      <alignment horizontal="right"/>
      <protection locked="0"/>
    </xf>
    <xf numFmtId="0" fontId="8" fillId="0" borderId="0"/>
    <xf numFmtId="14" fontId="125" fillId="0" borderId="0" applyFont="0" applyFill="0" applyBorder="0" applyAlignment="0" applyProtection="0">
      <alignment horizontal="center"/>
    </xf>
    <xf numFmtId="14" fontId="125" fillId="0" borderId="0" applyFont="0" applyFill="0" applyBorder="0" applyAlignment="0" applyProtection="0">
      <alignment horizontal="center"/>
    </xf>
    <xf numFmtId="301" fontId="125" fillId="0" borderId="0" applyFont="0" applyFill="0" applyBorder="0" applyAlignment="0" applyProtection="0">
      <alignment horizontal="center"/>
    </xf>
    <xf numFmtId="14" fontId="77" fillId="0" borderId="0"/>
    <xf numFmtId="302" fontId="212" fillId="0" borderId="0" applyFont="0" applyFill="0">
      <alignment horizontal="right"/>
    </xf>
    <xf numFmtId="0" fontId="212" fillId="0" borderId="0" applyFont="0" applyFill="0">
      <alignment horizontal="right"/>
    </xf>
    <xf numFmtId="0" fontId="59" fillId="0" borderId="0"/>
    <xf numFmtId="1" fontId="63" fillId="0" borderId="0" applyFont="0" applyFill="0" applyBorder="0" applyAlignment="0" applyProtection="0">
      <alignment horizontal="right"/>
    </xf>
    <xf numFmtId="0" fontId="56" fillId="0" borderId="0"/>
    <xf numFmtId="0" fontId="54" fillId="0" borderId="0">
      <alignment horizontal="right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>
      <alignment horizontal="right"/>
    </xf>
    <xf numFmtId="0" fontId="53" fillId="0" borderId="0"/>
    <xf numFmtId="2" fontId="138" fillId="53" borderId="0">
      <alignment horizontal="left"/>
      <protection hidden="1"/>
    </xf>
    <xf numFmtId="303" fontId="97" fillId="0" borderId="0" applyFont="0" applyFill="0" applyBorder="0" applyAlignment="0" applyProtection="0">
      <alignment horizontal="right"/>
    </xf>
    <xf numFmtId="304" fontId="56" fillId="0" borderId="0" applyFont="0" applyFill="0" applyBorder="0" applyAlignment="0" applyProtection="0">
      <alignment horizontal="right"/>
    </xf>
    <xf numFmtId="304" fontId="56" fillId="0" borderId="0" applyFont="0" applyFill="0" applyBorder="0" applyAlignment="0" applyProtection="0"/>
    <xf numFmtId="305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200" fontId="8" fillId="0" borderId="0" applyFill="0" applyBorder="0" applyAlignment="0" applyProtection="0"/>
    <xf numFmtId="1" fontId="56" fillId="0" borderId="0"/>
    <xf numFmtId="306" fontId="202" fillId="0" borderId="4" applyFont="0" applyFill="0" applyBorder="0">
      <alignment horizontal="center"/>
    </xf>
    <xf numFmtId="306" fontId="202" fillId="0" borderId="4" applyFont="0" applyFill="0" applyBorder="0">
      <alignment horizontal="center"/>
    </xf>
    <xf numFmtId="306" fontId="202" fillId="0" borderId="4" applyFont="0" applyFill="0" applyBorder="0">
      <alignment horizontal="center"/>
    </xf>
    <xf numFmtId="306" fontId="202" fillId="0" borderId="4" applyFont="0" applyFill="0" applyBorder="0">
      <alignment horizontal="center"/>
    </xf>
    <xf numFmtId="0" fontId="111" fillId="0" borderId="0" applyNumberFormat="0" applyAlignment="0"/>
    <xf numFmtId="0" fontId="8" fillId="0" borderId="0" applyNumberFormat="0" applyAlignment="0">
      <alignment horizontal="left"/>
    </xf>
    <xf numFmtId="0" fontId="213" fillId="0" borderId="0"/>
    <xf numFmtId="9" fontId="214" fillId="0" borderId="12" applyNumberFormat="0" applyBorder="0" applyAlignment="0">
      <protection locked="0"/>
    </xf>
    <xf numFmtId="0" fontId="56" fillId="82" borderId="48" applyNumberFormat="0" applyFont="0" applyAlignment="0">
      <protection locked="0"/>
    </xf>
    <xf numFmtId="178" fontId="56" fillId="0" borderId="0" applyFont="0" applyFill="0" applyBorder="0" applyAlignment="0" applyProtection="0">
      <alignment horizontal="right"/>
    </xf>
    <xf numFmtId="298" fontId="55" fillId="83" borderId="0" applyBorder="0"/>
    <xf numFmtId="307" fontId="55" fillId="0" borderId="0"/>
    <xf numFmtId="308" fontId="55" fillId="0" borderId="0"/>
    <xf numFmtId="0" fontId="55" fillId="0" borderId="0"/>
    <xf numFmtId="39" fontId="55" fillId="83" borderId="0"/>
    <xf numFmtId="309" fontId="55" fillId="0" borderId="0"/>
    <xf numFmtId="0" fontId="55" fillId="0" borderId="0"/>
    <xf numFmtId="310" fontId="63" fillId="0" borderId="0" applyFont="0" applyFill="0" applyBorder="0" applyProtection="0">
      <alignment horizontal="left"/>
      <protection locked="0"/>
    </xf>
    <xf numFmtId="0" fontId="63" fillId="0" borderId="0" applyFont="0" applyFill="0" applyBorder="0" applyProtection="0">
      <alignment horizontal="left"/>
      <protection locked="0"/>
    </xf>
    <xf numFmtId="311" fontId="55" fillId="0" borderId="0"/>
    <xf numFmtId="0" fontId="55" fillId="0" borderId="0"/>
    <xf numFmtId="312" fontId="63" fillId="0" borderId="0" applyFont="0" applyFill="0" applyBorder="0" applyProtection="0">
      <alignment horizontal="left"/>
      <protection locked="0"/>
    </xf>
    <xf numFmtId="313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208" fontId="63" fillId="0" borderId="0" applyFont="0" applyFill="0" applyBorder="0" applyAlignment="0" applyProtection="0"/>
    <xf numFmtId="314" fontId="87" fillId="84" borderId="2" applyNumberFormat="0" applyFont="0" applyBorder="0" applyAlignment="0" applyProtection="0">
      <alignment horizontal="right"/>
    </xf>
    <xf numFmtId="315" fontId="54" fillId="0" borderId="0">
      <alignment horizontal="right"/>
    </xf>
    <xf numFmtId="0" fontId="54" fillId="0" borderId="0">
      <alignment horizontal="right"/>
    </xf>
    <xf numFmtId="40" fontId="8" fillId="0" borderId="0" applyNumberFormat="0">
      <alignment horizontal="right"/>
    </xf>
    <xf numFmtId="206" fontId="63" fillId="0" borderId="0" applyFont="0" applyFill="0" applyBorder="0" applyAlignment="0" applyProtection="0">
      <alignment horizontal="right"/>
    </xf>
    <xf numFmtId="228" fontId="215" fillId="0" borderId="0" applyNumberFormat="0" applyFont="0" applyAlignment="0">
      <alignment vertical="center"/>
    </xf>
    <xf numFmtId="280" fontId="8" fillId="0" borderId="0">
      <protection locked="0"/>
    </xf>
    <xf numFmtId="316" fontId="87" fillId="0" borderId="0" applyFont="0" applyFill="0" applyBorder="0" applyAlignment="0"/>
    <xf numFmtId="0" fontId="216" fillId="0" borderId="0">
      <alignment horizontal="left"/>
    </xf>
    <xf numFmtId="0" fontId="217" fillId="0" borderId="0">
      <alignment horizontal="left"/>
    </xf>
    <xf numFmtId="0" fontId="117" fillId="0" borderId="0" applyFill="0" applyBorder="0" applyProtection="0">
      <alignment horizontal="left"/>
    </xf>
    <xf numFmtId="0" fontId="117" fillId="0" borderId="0" applyNumberFormat="0" applyFill="0" applyBorder="0" applyProtection="0">
      <alignment horizontal="left"/>
    </xf>
    <xf numFmtId="0" fontId="117" fillId="0" borderId="0" applyFill="0" applyBorder="0" applyProtection="0">
      <alignment vertical="center"/>
    </xf>
    <xf numFmtId="0" fontId="218" fillId="0" borderId="0" applyNumberFormat="0" applyFill="0" applyBorder="0" applyAlignment="0" applyProtection="0"/>
    <xf numFmtId="1" fontId="87" fillId="0" borderId="0" applyNumberFormat="0" applyBorder="0" applyAlignment="0" applyProtection="0"/>
    <xf numFmtId="317" fontId="55" fillId="0" borderId="50"/>
    <xf numFmtId="0" fontId="55" fillId="41" borderId="18">
      <alignment horizontal="right"/>
    </xf>
    <xf numFmtId="318" fontId="55" fillId="41" borderId="18">
      <alignment horizontal="right"/>
    </xf>
    <xf numFmtId="319" fontId="219" fillId="0" borderId="0">
      <alignment vertical="center"/>
    </xf>
    <xf numFmtId="183" fontId="56" fillId="0" borderId="0" applyFill="0" applyBorder="0" applyAlignment="0" applyProtection="0">
      <protection locked="0"/>
    </xf>
    <xf numFmtId="38" fontId="87" fillId="41" borderId="0" applyNumberFormat="0" applyBorder="0" applyAlignment="0" applyProtection="0"/>
    <xf numFmtId="320" fontId="220" fillId="0" borderId="0" applyFill="0" applyBorder="0" applyAlignment="0" applyProtection="0"/>
    <xf numFmtId="320" fontId="221" fillId="0" borderId="0" applyAlignment="0">
      <alignment horizontal="left"/>
      <protection locked="0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18" fillId="0" borderId="0">
      <alignment horizontal="right"/>
    </xf>
    <xf numFmtId="49" fontId="222" fillId="0" borderId="0">
      <alignment horizontal="right"/>
    </xf>
    <xf numFmtId="319" fontId="223" fillId="0" borderId="0">
      <alignment vertical="center"/>
    </xf>
    <xf numFmtId="321" fontId="171" fillId="85" borderId="12" applyNumberFormat="0" applyFont="0" applyAlignment="0"/>
    <xf numFmtId="322" fontId="63" fillId="0" borderId="0" applyFont="0" applyFill="0" applyBorder="0" applyAlignment="0" applyProtection="0">
      <alignment horizontal="right"/>
    </xf>
    <xf numFmtId="206" fontId="8" fillId="0" borderId="0" applyNumberFormat="0" applyFill="0" applyBorder="0" applyAlignment="0" applyProtection="0"/>
    <xf numFmtId="226" fontId="9" fillId="0" borderId="0" applyNumberFormat="0" applyFill="0" applyBorder="0" applyAlignment="0" applyProtection="0"/>
    <xf numFmtId="0" fontId="224" fillId="0" borderId="0">
      <alignment horizontal="left"/>
    </xf>
    <xf numFmtId="0" fontId="225" fillId="0" borderId="0">
      <alignment horizontal="right"/>
    </xf>
    <xf numFmtId="0" fontId="226" fillId="0" borderId="51" applyNumberFormat="0" applyAlignment="0" applyProtection="0">
      <alignment horizontal="left" vertical="center"/>
    </xf>
    <xf numFmtId="0" fontId="226" fillId="0" borderId="6">
      <alignment horizontal="left" vertical="center"/>
    </xf>
    <xf numFmtId="0" fontId="227" fillId="0" borderId="0">
      <alignment horizontal="center"/>
    </xf>
    <xf numFmtId="228" fontId="168" fillId="0" borderId="0" applyNumberFormat="0" applyFill="0" applyBorder="0">
      <alignment horizontal="left" vertical="center"/>
    </xf>
    <xf numFmtId="0" fontId="228" fillId="0" borderId="0">
      <alignment horizontal="left"/>
    </xf>
    <xf numFmtId="0" fontId="229" fillId="0" borderId="7">
      <alignment horizontal="left" vertical="top"/>
    </xf>
    <xf numFmtId="0" fontId="95" fillId="0" borderId="0">
      <alignment horizontal="left"/>
    </xf>
    <xf numFmtId="0" fontId="230" fillId="0" borderId="7">
      <alignment horizontal="left" vertical="top"/>
    </xf>
    <xf numFmtId="0" fontId="231" fillId="0" borderId="0">
      <alignment horizontal="left"/>
    </xf>
    <xf numFmtId="0" fontId="226" fillId="0" borderId="0"/>
    <xf numFmtId="0" fontId="210" fillId="0" borderId="4"/>
    <xf numFmtId="0" fontId="210" fillId="0" borderId="4"/>
    <xf numFmtId="0" fontId="210" fillId="0" borderId="4"/>
    <xf numFmtId="0" fontId="210" fillId="0" borderId="4"/>
    <xf numFmtId="0" fontId="232" fillId="0" borderId="37">
      <alignment horizontal="center"/>
    </xf>
    <xf numFmtId="0" fontId="232" fillId="0" borderId="37">
      <alignment horizontal="center"/>
    </xf>
    <xf numFmtId="0" fontId="232" fillId="0" borderId="37">
      <alignment horizontal="center"/>
    </xf>
    <xf numFmtId="0" fontId="232" fillId="0" borderId="37">
      <alignment horizontal="center"/>
    </xf>
    <xf numFmtId="0" fontId="232" fillId="0" borderId="0">
      <alignment horizontal="center"/>
    </xf>
    <xf numFmtId="0" fontId="181" fillId="0" borderId="4" applyFill="0" applyBorder="0" applyProtection="0">
      <alignment horizontal="center" wrapText="1"/>
    </xf>
    <xf numFmtId="0" fontId="181" fillId="0" borderId="4" applyFill="0" applyBorder="0" applyProtection="0">
      <alignment horizontal="center" wrapText="1"/>
    </xf>
    <xf numFmtId="0" fontId="181" fillId="0" borderId="4" applyFill="0" applyBorder="0" applyProtection="0">
      <alignment horizontal="center" wrapText="1"/>
    </xf>
    <xf numFmtId="0" fontId="181" fillId="0" borderId="4" applyFill="0" applyBorder="0" applyProtection="0">
      <alignment horizontal="center" wrapText="1"/>
    </xf>
    <xf numFmtId="0" fontId="181" fillId="0" borderId="0" applyFill="0" applyBorder="0" applyProtection="0">
      <alignment horizontal="left" vertical="top" wrapText="1"/>
    </xf>
    <xf numFmtId="206" fontId="8" fillId="0" borderId="0" applyNumberFormat="0"/>
    <xf numFmtId="0" fontId="233" fillId="0" borderId="0" applyNumberFormat="0" applyFill="0" applyBorder="0" applyAlignment="0" applyProtection="0">
      <alignment vertical="top"/>
      <protection locked="0"/>
    </xf>
    <xf numFmtId="183" fontId="56" fillId="0" borderId="0" applyFill="0" applyBorder="0" applyAlignment="0" applyProtection="0">
      <alignment horizontal="right"/>
      <protection locked="0"/>
    </xf>
    <xf numFmtId="323" fontId="218" fillId="0" borderId="0" applyBorder="0" applyAlignment="0"/>
    <xf numFmtId="10" fontId="87" fillId="85" borderId="12" applyNumberFormat="0" applyBorder="0" applyAlignment="0" applyProtection="0"/>
    <xf numFmtId="0" fontId="77" fillId="86" borderId="0" applyNumberFormat="0" applyFont="0" applyBorder="0" applyAlignment="0" applyProtection="0"/>
    <xf numFmtId="324" fontId="199" fillId="0" borderId="0" applyFill="0" applyBorder="0" applyProtection="0"/>
    <xf numFmtId="325" fontId="199" fillId="0" borderId="0" applyFill="0" applyBorder="0" applyProtection="0"/>
    <xf numFmtId="0" fontId="199" fillId="0" borderId="0" applyFill="0" applyBorder="0" applyProtection="0"/>
    <xf numFmtId="326" fontId="111" fillId="0" borderId="0" applyFill="0" applyBorder="0" applyProtection="0"/>
    <xf numFmtId="327" fontId="199" fillId="0" borderId="0" applyFill="0" applyBorder="0" applyProtection="0"/>
    <xf numFmtId="195" fontId="199" fillId="0" borderId="0" applyFill="0" applyBorder="0" applyProtection="0"/>
    <xf numFmtId="328" fontId="234" fillId="0" borderId="0" applyFill="0" applyBorder="0" applyProtection="0">
      <alignment vertical="center"/>
    </xf>
    <xf numFmtId="297" fontId="234" fillId="0" borderId="0" applyFill="0" applyBorder="0" applyProtection="0">
      <alignment vertical="center"/>
    </xf>
    <xf numFmtId="329" fontId="111" fillId="0" borderId="0" applyFont="0" applyFill="0" applyBorder="0" applyAlignment="0">
      <protection locked="0"/>
    </xf>
    <xf numFmtId="195" fontId="111" fillId="0" borderId="0" applyFont="0" applyFill="0" applyBorder="0" applyAlignment="0">
      <protection locked="0"/>
    </xf>
    <xf numFmtId="330" fontId="234" fillId="0" borderId="0" applyFill="0" applyBorder="0" applyProtection="0">
      <alignment vertical="center"/>
    </xf>
    <xf numFmtId="331" fontId="234" fillId="0" borderId="0" applyFill="0" applyBorder="0" applyProtection="0">
      <alignment vertical="center"/>
    </xf>
    <xf numFmtId="332" fontId="58" fillId="0" borderId="0" applyFill="0" applyBorder="0" applyAlignment="0">
      <protection locked="0"/>
    </xf>
    <xf numFmtId="333" fontId="111" fillId="0" borderId="4" applyFill="0"/>
    <xf numFmtId="333" fontId="111" fillId="0" borderId="4" applyFill="0"/>
    <xf numFmtId="333" fontId="111" fillId="0" borderId="4" applyFill="0"/>
    <xf numFmtId="333" fontId="111" fillId="0" borderId="4" applyFill="0"/>
    <xf numFmtId="0" fontId="8" fillId="0" borderId="0" applyFill="0" applyBorder="0">
      <alignment horizontal="right"/>
      <protection locked="0"/>
    </xf>
    <xf numFmtId="0" fontId="235" fillId="0" borderId="0"/>
    <xf numFmtId="334" fontId="8" fillId="0" borderId="0" applyFill="0" applyBorder="0">
      <alignment horizontal="right"/>
      <protection locked="0"/>
    </xf>
    <xf numFmtId="335" fontId="8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0" fontId="9" fillId="87" borderId="52">
      <alignment horizontal="left" vertical="center" wrapText="1"/>
    </xf>
    <xf numFmtId="206" fontId="8" fillId="0" borderId="0" applyFont="0" applyFill="0" applyBorder="0" applyAlignment="0" applyProtection="0"/>
    <xf numFmtId="226" fontId="171" fillId="0" borderId="0" applyNumberFormat="0" applyFill="0" applyBorder="0" applyAlignment="0" applyProtection="0"/>
    <xf numFmtId="0" fontId="236" fillId="0" borderId="0"/>
    <xf numFmtId="1" fontId="87" fillId="0" borderId="4" applyNumberFormat="0" applyFont="0" applyFill="0" applyAlignment="0" applyProtection="0">
      <alignment horizontal="center"/>
    </xf>
    <xf numFmtId="38" fontId="87" fillId="0" borderId="40" applyNumberFormat="0" applyFont="0" applyFill="0" applyAlignment="0" applyProtection="0"/>
    <xf numFmtId="0" fontId="8" fillId="41" borderId="0"/>
    <xf numFmtId="228" fontId="56" fillId="0" borderId="0" applyFont="0" applyFill="0" applyBorder="0" applyAlignment="0" applyProtection="0">
      <alignment horizontal="right"/>
    </xf>
    <xf numFmtId="0" fontId="55" fillId="0" borderId="0">
      <alignment horizontal="right"/>
    </xf>
    <xf numFmtId="336" fontId="55" fillId="0" borderId="0">
      <alignment horizontal="right"/>
    </xf>
    <xf numFmtId="337" fontId="55" fillId="0" borderId="0">
      <alignment horizontal="right"/>
    </xf>
    <xf numFmtId="0" fontId="55" fillId="0" borderId="0">
      <alignment horizontal="right"/>
    </xf>
    <xf numFmtId="338" fontId="75" fillId="0" borderId="0"/>
    <xf numFmtId="0" fontId="237" fillId="0" borderId="0"/>
    <xf numFmtId="1" fontId="238" fillId="0" borderId="0"/>
    <xf numFmtId="195" fontId="206" fillId="0" borderId="0" applyFill="0" applyBorder="0" applyAlignment="0" applyProtection="0">
      <alignment horizontal="right"/>
    </xf>
    <xf numFmtId="195" fontId="206" fillId="0" borderId="0" applyFill="0" applyBorder="0" applyAlignment="0" applyProtection="0"/>
    <xf numFmtId="38" fontId="239" fillId="0" borderId="0" applyNumberFormat="0" applyFill="0" applyBorder="0">
      <alignment horizontal="left" vertical="center"/>
    </xf>
    <xf numFmtId="339" fontId="8" fillId="0" borderId="0" applyFont="0" applyFill="0" applyBorder="0" applyAlignment="0" applyProtection="0"/>
    <xf numFmtId="340" fontId="8" fillId="0" borderId="0" applyFont="0" applyFill="0" applyBorder="0" applyAlignment="0" applyProtection="0"/>
    <xf numFmtId="341" fontId="8" fillId="0" borderId="0" applyFont="0" applyFill="0" applyBorder="0" applyAlignment="0" applyProtection="0"/>
    <xf numFmtId="342" fontId="8" fillId="0" borderId="0" applyFont="0" applyFill="0" applyBorder="0" applyAlignment="0" applyProtection="0"/>
    <xf numFmtId="343" fontId="8" fillId="0" borderId="0" applyFont="0" applyFill="0" applyBorder="0" applyAlignment="0" applyProtection="0"/>
    <xf numFmtId="344" fontId="8" fillId="0" borderId="0" applyFont="0" applyFill="0" applyBorder="0" applyAlignment="0" applyProtection="0"/>
    <xf numFmtId="228" fontId="240" fillId="0" borderId="0" applyFill="0" applyBorder="0">
      <alignment vertical="center"/>
    </xf>
    <xf numFmtId="0" fontId="55" fillId="41" borderId="18">
      <alignment horizontal="right"/>
    </xf>
    <xf numFmtId="234" fontId="58" fillId="0" borderId="0" applyFont="0" applyFill="0" applyBorder="0" applyAlignment="0" applyProtection="0"/>
    <xf numFmtId="345" fontId="5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08" fillId="88" borderId="0"/>
    <xf numFmtId="0" fontId="241" fillId="0" borderId="0" applyNumberFormat="0">
      <alignment horizontal="right"/>
    </xf>
    <xf numFmtId="346" fontId="242" fillId="0" borderId="53" applyFont="0" applyFill="0" applyBorder="0" applyAlignment="0">
      <alignment horizontal="center"/>
    </xf>
    <xf numFmtId="347" fontId="8" fillId="0" borderId="0" applyFont="0" applyFill="0" applyBorder="0" applyAlignment="0" applyProtection="0"/>
    <xf numFmtId="348" fontId="215" fillId="0" borderId="0" applyFont="0" applyFill="0" applyBorder="0" applyAlignment="0" applyProtection="0"/>
    <xf numFmtId="0" fontId="102" fillId="0" borderId="0" applyFont="0" applyFill="0" applyBorder="0" applyAlignment="0" applyProtection="0">
      <alignment horizontal="right"/>
    </xf>
    <xf numFmtId="330" fontId="102" fillId="0" borderId="0" applyFill="0" applyBorder="0" applyProtection="0">
      <alignment vertical="center"/>
    </xf>
    <xf numFmtId="349" fontId="111" fillId="0" borderId="0" applyFont="0" applyFill="0" applyBorder="0" applyAlignment="0" applyProtection="0">
      <alignment horizontal="right"/>
    </xf>
    <xf numFmtId="37" fontId="8" fillId="0" borderId="0"/>
    <xf numFmtId="217" fontId="243" fillId="0" borderId="0"/>
    <xf numFmtId="0" fontId="8" fillId="0" borderId="0"/>
    <xf numFmtId="0" fontId="0" fillId="0" borderId="0"/>
    <xf numFmtId="0" fontId="0" fillId="0" borderId="0"/>
    <xf numFmtId="0" fontId="8" fillId="0" borderId="0"/>
    <xf numFmtId="0" fontId="8" fillId="0" borderId="0"/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4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/>
    <xf numFmtId="0" fontId="0" fillId="0" borderId="0"/>
    <xf numFmtId="0" fontId="8" fillId="0" borderId="0"/>
    <xf numFmtId="0" fontId="8" fillId="0" borderId="0"/>
    <xf numFmtId="0" fontId="245" fillId="0" borderId="0"/>
    <xf numFmtId="0" fontId="0" fillId="0" borderId="0"/>
    <xf numFmtId="0" fontId="0" fillId="0" borderId="0"/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6" fillId="0" borderId="0"/>
    <xf numFmtId="0" fontId="246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8" fillId="0" borderId="0"/>
    <xf numFmtId="0" fontId="3" fillId="0" borderId="0"/>
    <xf numFmtId="2" fontId="77" fillId="0" borderId="0" applyBorder="0" applyProtection="0"/>
    <xf numFmtId="268" fontId="102" fillId="0" borderId="0" applyFill="0" applyBorder="0" applyProtection="0">
      <alignment vertical="center"/>
    </xf>
    <xf numFmtId="0" fontId="102" fillId="0" borderId="0" applyFill="0" applyBorder="0" applyProtection="0">
      <alignment vertical="center"/>
    </xf>
    <xf numFmtId="0" fontId="8" fillId="0" borderId="0"/>
    <xf numFmtId="0" fontId="95" fillId="0" borderId="0"/>
    <xf numFmtId="0" fontId="8" fillId="0" borderId="0"/>
    <xf numFmtId="39" fontId="54" fillId="0" borderId="0"/>
    <xf numFmtId="0" fontId="87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335" fontId="8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23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4" fontId="8" fillId="0" borderId="0" applyNumberFormat="0" applyFont="0" applyAlignment="0">
      <alignment horizontal="right"/>
    </xf>
    <xf numFmtId="0" fontId="247" fillId="0" borderId="0" applyNumberFormat="0" applyAlignment="0"/>
    <xf numFmtId="0" fontId="248" fillId="0" borderId="0" applyNumberFormat="0" applyAlignment="0"/>
    <xf numFmtId="0" fontId="249" fillId="0" borderId="0" applyNumberFormat="0" applyAlignment="0"/>
    <xf numFmtId="0" fontId="250" fillId="0" borderId="0"/>
    <xf numFmtId="0" fontId="203" fillId="0" borderId="0">
      <alignment horizontal="left" vertical="top"/>
      <protection locked="0"/>
    </xf>
    <xf numFmtId="350" fontId="251" fillId="79" borderId="0">
      <alignment horizontal="right"/>
    </xf>
    <xf numFmtId="0" fontId="252" fillId="48" borderId="0">
      <alignment horizontal="center"/>
    </xf>
    <xf numFmtId="0" fontId="9" fillId="79" borderId="0"/>
    <xf numFmtId="0" fontId="9" fillId="79" borderId="0" applyBorder="0">
      <alignment horizontal="centerContinuous"/>
    </xf>
    <xf numFmtId="0" fontId="9" fillId="79" borderId="0" applyBorder="0">
      <alignment horizontal="centerContinuous"/>
    </xf>
    <xf numFmtId="351" fontId="56" fillId="0" borderId="0" applyFont="0" applyFill="0" applyBorder="0" applyAlignment="0" applyProtection="0">
      <alignment horizontal="right"/>
    </xf>
    <xf numFmtId="250" fontId="8" fillId="0" borderId="0" applyFill="0">
      <alignment horizontal="center" vertical="center"/>
    </xf>
    <xf numFmtId="0" fontId="253" fillId="0" borderId="0" applyNumberFormat="0" applyFill="0" applyBorder="0">
      <alignment horizontal="left"/>
    </xf>
    <xf numFmtId="1" fontId="254" fillId="0" borderId="0" applyProtection="0">
      <alignment horizontal="right" vertical="center"/>
    </xf>
    <xf numFmtId="0" fontId="95" fillId="0" borderId="0" applyNumberFormat="0" applyFill="0" applyBorder="0" applyAlignment="0" applyProtection="0"/>
    <xf numFmtId="352" fontId="55" fillId="83" borderId="0"/>
    <xf numFmtId="333" fontId="56" fillId="0" borderId="0" applyFont="0" applyFill="0" applyBorder="0" applyAlignment="0" applyProtection="0">
      <alignment horizontal="right"/>
    </xf>
    <xf numFmtId="9" fontId="56" fillId="0" borderId="0" applyFont="0" applyFill="0" applyBorder="0" applyAlignment="0" applyProtection="0">
      <alignment horizontal="right"/>
    </xf>
    <xf numFmtId="353" fontId="55" fillId="0" borderId="0"/>
    <xf numFmtId="2" fontId="56" fillId="0" borderId="0"/>
    <xf numFmtId="14" fontId="56" fillId="0" borderId="0">
      <alignment horizontal="center" wrapText="1"/>
      <protection locked="0"/>
    </xf>
    <xf numFmtId="32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354" fontId="256" fillId="0" borderId="4" applyFont="0" applyFill="0" applyBorder="0" applyAlignment="0">
      <alignment horizontal="right"/>
    </xf>
    <xf numFmtId="0" fontId="256" fillId="0" borderId="4" applyFont="0" applyFill="0" applyBorder="0" applyAlignment="0">
      <alignment horizontal="right"/>
    </xf>
    <xf numFmtId="0" fontId="256" fillId="0" borderId="4" applyFont="0" applyFill="0" applyBorder="0" applyAlignment="0">
      <alignment horizontal="right"/>
    </xf>
    <xf numFmtId="0" fontId="256" fillId="0" borderId="4" applyFont="0" applyFill="0" applyBorder="0" applyAlignment="0">
      <alignment horizontal="right"/>
    </xf>
    <xf numFmtId="0" fontId="256" fillId="0" borderId="4" applyFont="0" applyFill="0" applyBorder="0" applyAlignment="0">
      <alignment horizontal="right"/>
    </xf>
    <xf numFmtId="355" fontId="182" fillId="0" borderId="0" applyFont="0" applyFill="0" applyBorder="0"/>
    <xf numFmtId="0" fontId="182" fillId="0" borderId="0" applyFont="0" applyFill="0" applyBorder="0"/>
    <xf numFmtId="331" fontId="102" fillId="0" borderId="0" applyFill="0" applyBorder="0" applyProtection="0">
      <alignment vertical="center"/>
    </xf>
    <xf numFmtId="355" fontId="182" fillId="0" borderId="0" applyFont="0" applyFill="0"/>
    <xf numFmtId="0" fontId="182" fillId="0" borderId="0" applyFont="0" applyFill="0"/>
    <xf numFmtId="356" fontId="8" fillId="0" borderId="0"/>
    <xf numFmtId="320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83" fontId="56" fillId="0" borderId="0" applyFont="0" applyFill="0" applyBorder="0" applyAlignment="0" applyProtection="0">
      <protection locked="0"/>
    </xf>
    <xf numFmtId="9" fontId="8" fillId="0" borderId="0" applyFont="0" applyFill="0" applyBorder="0" applyAlignment="0" applyProtection="0"/>
    <xf numFmtId="357" fontId="87" fillId="0" borderId="0" applyFill="0" applyBorder="0" applyAlignment="0" applyProtection="0"/>
    <xf numFmtId="183" fontId="56" fillId="0" borderId="0" applyFill="0" applyBorder="0" applyAlignment="0" applyProtection="0"/>
    <xf numFmtId="38" fontId="56" fillId="0" borderId="0" applyFont="0" applyFill="0" applyBorder="0" applyAlignment="0" applyProtection="0"/>
    <xf numFmtId="298" fontId="95" fillId="0" borderId="0" applyFont="0" applyFill="0" applyBorder="0" applyAlignment="0" applyProtection="0"/>
    <xf numFmtId="10" fontId="56" fillId="0" borderId="0"/>
    <xf numFmtId="10" fontId="56" fillId="87" borderId="0"/>
    <xf numFmtId="9" fontId="56" fillId="0" borderId="0" applyFont="0" applyFill="0" applyBorder="0" applyAlignment="0" applyProtection="0"/>
    <xf numFmtId="0" fontId="257" fillId="0" borderId="0" applyNumberFormat="0" applyAlignment="0"/>
    <xf numFmtId="231" fontId="8" fillId="0" borderId="0" applyFill="0" applyBorder="0" applyAlignment="0" applyProtection="0"/>
    <xf numFmtId="358" fontId="55" fillId="41" borderId="0"/>
    <xf numFmtId="0" fontId="258" fillId="0" borderId="0">
      <alignment horizontal="center"/>
    </xf>
    <xf numFmtId="0" fontId="55" fillId="0" borderId="4">
      <alignment horizontal="centerContinuous"/>
    </xf>
    <xf numFmtId="0" fontId="55" fillId="0" borderId="4">
      <alignment horizontal="centerContinuous"/>
    </xf>
    <xf numFmtId="0" fontId="55" fillId="0" borderId="4">
      <alignment horizontal="centerContinuous"/>
    </xf>
    <xf numFmtId="0" fontId="55" fillId="0" borderId="4">
      <alignment horizontal="centerContinuous"/>
    </xf>
    <xf numFmtId="359" fontId="55" fillId="41" borderId="0">
      <alignment horizontal="right"/>
    </xf>
    <xf numFmtId="206" fontId="63" fillId="0" borderId="0">
      <alignment vertical="top"/>
    </xf>
    <xf numFmtId="360" fontId="55" fillId="41" borderId="18">
      <alignment horizontal="right"/>
    </xf>
    <xf numFmtId="0" fontId="259" fillId="89" borderId="0" applyNumberFormat="0" applyFont="0" applyBorder="0" applyAlignment="0">
      <alignment horizontal="center"/>
    </xf>
    <xf numFmtId="183" fontId="125" fillId="0" borderId="0" applyFont="0" applyFill="0" applyBorder="0" applyAlignment="0" applyProtection="0"/>
    <xf numFmtId="0" fontId="51" fillId="0" borderId="18" applyNumberFormat="0" applyBorder="0" applyAlignment="0"/>
    <xf numFmtId="227" fontId="77" fillId="90" borderId="3" applyNumberFormat="0" applyFont="0" applyBorder="0" applyAlignment="0" applyProtection="0">
      <alignment horizontal="center"/>
    </xf>
    <xf numFmtId="227" fontId="77" fillId="90" borderId="3" applyNumberFormat="0" applyFont="0" applyBorder="0" applyAlignment="0" applyProtection="0">
      <alignment horizontal="center"/>
    </xf>
    <xf numFmtId="227" fontId="77" fillId="90" borderId="3" applyNumberFormat="0" applyFont="0" applyBorder="0" applyAlignment="0" applyProtection="0">
      <alignment horizontal="center"/>
    </xf>
    <xf numFmtId="227" fontId="77" fillId="90" borderId="3" applyNumberFormat="0" applyFont="0" applyBorder="0" applyAlignment="0" applyProtection="0">
      <alignment horizontal="center"/>
    </xf>
    <xf numFmtId="14" fontId="59" fillId="0" borderId="0" applyNumberFormat="0" applyFill="0" applyBorder="0" applyAlignment="0" applyProtection="0">
      <alignment horizontal="left"/>
    </xf>
    <xf numFmtId="37" fontId="59" fillId="91" borderId="0">
      <alignment horizontal="right"/>
    </xf>
    <xf numFmtId="0" fontId="87" fillId="0" borderId="0" applyAlignment="0">
      <alignment horizontal="center"/>
    </xf>
    <xf numFmtId="0" fontId="87" fillId="0" borderId="0" applyAlignment="0">
      <alignment horizontal="center"/>
    </xf>
    <xf numFmtId="0" fontId="217" fillId="0" borderId="54">
      <alignment vertical="center"/>
    </xf>
    <xf numFmtId="4" fontId="251" fillId="92" borderId="55" applyNumberFormat="0" applyProtection="0">
      <alignment horizontal="right" vertical="center"/>
    </xf>
    <xf numFmtId="0" fontId="8" fillId="88" borderId="0">
      <alignment horizontal="right"/>
    </xf>
    <xf numFmtId="1" fontId="260" fillId="93" borderId="0" applyNumberFormat="0" applyFont="0" applyBorder="0" applyAlignment="0">
      <alignment horizontal="left"/>
    </xf>
    <xf numFmtId="0" fontId="259" fillId="91" borderId="6" applyNumberFormat="0" applyFont="0" applyAlignment="0">
      <alignment horizontal="center"/>
    </xf>
    <xf numFmtId="0" fontId="261" fillId="94" borderId="0" applyNumberFormat="0" applyFont="0" applyBorder="0" applyAlignment="0"/>
    <xf numFmtId="231" fontId="63" fillId="0" borderId="4" applyFont="0" applyFill="0" applyBorder="0" applyAlignment="0" applyProtection="0">
      <alignment horizontal="right"/>
    </xf>
    <xf numFmtId="231" fontId="63" fillId="0" borderId="4" applyFont="0" applyFill="0" applyBorder="0" applyAlignment="0" applyProtection="0">
      <alignment horizontal="right"/>
    </xf>
    <xf numFmtId="231" fontId="63" fillId="0" borderId="4" applyFont="0" applyFill="0" applyBorder="0" applyAlignment="0" applyProtection="0">
      <alignment horizontal="right"/>
    </xf>
    <xf numFmtId="231" fontId="63" fillId="0" borderId="4" applyFont="0" applyFill="0" applyBorder="0" applyAlignment="0" applyProtection="0">
      <alignment horizontal="right"/>
    </xf>
    <xf numFmtId="250" fontId="56" fillId="0" borderId="0" applyFill="0" applyBorder="0" applyAlignment="0" applyProtection="0">
      <protection locked="0"/>
    </xf>
    <xf numFmtId="2" fontId="262" fillId="0" borderId="0"/>
    <xf numFmtId="1" fontId="8" fillId="0" borderId="0"/>
    <xf numFmtId="0" fontId="26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4" fillId="0" borderId="0" applyNumberFormat="0" applyFill="0" applyBorder="0" applyAlignment="0">
      <alignment horizontal="center"/>
    </xf>
    <xf numFmtId="186" fontId="63" fillId="0" borderId="0" applyFill="0" applyBorder="0" applyProtection="0">
      <alignment horizontal="right"/>
    </xf>
    <xf numFmtId="0" fontId="265" fillId="0" borderId="0"/>
    <xf numFmtId="361" fontId="87" fillId="0" borderId="0" applyFill="0" applyBorder="0" applyAlignment="0" applyProtection="0"/>
    <xf numFmtId="0" fontId="8" fillId="0" borderId="0" applyFont="0" applyFill="0" applyBorder="0" applyAlignment="0" applyProtection="0"/>
    <xf numFmtId="0" fontId="8" fillId="0" borderId="0">
      <alignment vertical="top"/>
    </xf>
    <xf numFmtId="0" fontId="138" fillId="0" borderId="0" applyNumberFormat="0" applyFill="0" applyBorder="0" applyProtection="0">
      <alignment horizontal="center"/>
    </xf>
    <xf numFmtId="4" fontId="128" fillId="0" borderId="0" applyFill="0" applyBorder="0" applyAlignment="0" applyProtection="0"/>
    <xf numFmtId="4" fontId="266" fillId="0" borderId="0" applyFill="0" applyBorder="0" applyAlignment="0" applyProtection="0"/>
    <xf numFmtId="0" fontId="8" fillId="0" borderId="0">
      <alignment vertical="top"/>
    </xf>
    <xf numFmtId="362" fontId="267" fillId="0" borderId="0" applyNumberFormat="0" applyFill="0" applyBorder="0" applyAlignment="0" applyProtection="0">
      <alignment horizontal="right" vertical="center" wrapText="1"/>
    </xf>
    <xf numFmtId="0" fontId="268" fillId="0" borderId="0" applyNumberFormat="0" applyFill="0" applyBorder="0" applyAlignment="0" applyProtection="0"/>
    <xf numFmtId="0" fontId="269" fillId="0" borderId="0" applyNumberFormat="0" applyFill="0" applyBorder="0" applyAlignment="0" applyProtection="0">
      <protection locked="0"/>
    </xf>
    <xf numFmtId="0" fontId="144" fillId="0" borderId="2" applyNumberFormat="0" applyFill="0" applyProtection="0">
      <alignment horizontal="right"/>
    </xf>
    <xf numFmtId="40" fontId="8" fillId="0" borderId="0" applyBorder="0">
      <alignment horizontal="right"/>
    </xf>
    <xf numFmtId="304" fontId="239" fillId="0" borderId="56" applyFill="0">
      <alignment vertical="center"/>
    </xf>
    <xf numFmtId="363" fontId="87" fillId="0" borderId="0"/>
    <xf numFmtId="363" fontId="87" fillId="0" borderId="0"/>
    <xf numFmtId="0" fontId="87" fillId="0" borderId="0"/>
    <xf numFmtId="0" fontId="8" fillId="0" borderId="7" applyBorder="0">
      <alignment horizontal="center"/>
    </xf>
    <xf numFmtId="39" fontId="9" fillId="0" borderId="6" applyNumberFormat="0" applyBorder="0">
      <alignment horizontal="right"/>
    </xf>
    <xf numFmtId="0" fontId="144" fillId="0" borderId="57" applyNumberFormat="0" applyProtection="0">
      <alignment horizontal="right"/>
    </xf>
    <xf numFmtId="0" fontId="191" fillId="0" borderId="4" applyNumberFormat="0" applyFill="0" applyProtection="0"/>
    <xf numFmtId="0" fontId="191" fillId="0" borderId="4" applyNumberFormat="0" applyFill="0" applyProtection="0"/>
    <xf numFmtId="0" fontId="191" fillId="0" borderId="4" applyNumberFormat="0" applyFill="0" applyProtection="0"/>
    <xf numFmtId="0" fontId="191" fillId="0" borderId="4" applyNumberFormat="0" applyFill="0" applyProtection="0"/>
    <xf numFmtId="305" fontId="63" fillId="0" borderId="4" applyBorder="0" applyProtection="0">
      <alignment horizontal="right" vertical="center"/>
    </xf>
    <xf numFmtId="0" fontId="63" fillId="0" borderId="4" applyBorder="0" applyProtection="0">
      <alignment horizontal="right" vertical="center"/>
    </xf>
    <xf numFmtId="0" fontId="63" fillId="0" borderId="4" applyBorder="0" applyProtection="0">
      <alignment horizontal="right" vertical="center"/>
    </xf>
    <xf numFmtId="0" fontId="63" fillId="0" borderId="4" applyBorder="0" applyProtection="0">
      <alignment horizontal="right" vertical="center"/>
    </xf>
    <xf numFmtId="0" fontId="63" fillId="0" borderId="4" applyBorder="0" applyProtection="0">
      <alignment horizontal="right" vertical="center"/>
    </xf>
    <xf numFmtId="0" fontId="270" fillId="95" borderId="0" applyBorder="0" applyProtection="0">
      <alignment horizontal="centerContinuous" vertical="center"/>
    </xf>
    <xf numFmtId="0" fontId="270" fillId="88" borderId="4" applyBorder="0" applyProtection="0">
      <alignment horizontal="centerContinuous" vertical="center"/>
    </xf>
    <xf numFmtId="0" fontId="270" fillId="88" borderId="4" applyBorder="0" applyProtection="0">
      <alignment horizontal="centerContinuous" vertical="center"/>
    </xf>
    <xf numFmtId="0" fontId="270" fillId="88" borderId="4" applyBorder="0" applyProtection="0">
      <alignment horizontal="centerContinuous" vertical="center"/>
    </xf>
    <xf numFmtId="0" fontId="270" fillId="88" borderId="4" applyBorder="0" applyProtection="0">
      <alignment horizontal="centerContinuous" vertical="center"/>
    </xf>
    <xf numFmtId="0" fontId="271" fillId="0" borderId="0" applyBorder="0" applyProtection="0">
      <alignment vertical="center"/>
    </xf>
    <xf numFmtId="0" fontId="117" fillId="0" borderId="0" applyNumberFormat="0" applyFill="0" applyBorder="0" applyProtection="0">
      <alignment horizontal="left"/>
    </xf>
    <xf numFmtId="0" fontId="272" fillId="0" borderId="0" applyFill="0" applyBorder="0" applyProtection="0">
      <alignment vertical="center"/>
    </xf>
    <xf numFmtId="0" fontId="273" fillId="0" borderId="0">
      <alignment vertical="center"/>
    </xf>
    <xf numFmtId="0" fontId="219" fillId="0" borderId="0">
      <alignment vertical="center"/>
    </xf>
    <xf numFmtId="0" fontId="273" fillId="0" borderId="0">
      <alignment vertical="center"/>
    </xf>
    <xf numFmtId="0" fontId="223" fillId="0" borderId="0">
      <alignment vertical="center"/>
    </xf>
    <xf numFmtId="0" fontId="274" fillId="0" borderId="0" applyNumberFormat="0">
      <alignment horizontal="left"/>
    </xf>
    <xf numFmtId="0" fontId="139" fillId="0" borderId="0" applyFill="0" applyBorder="0" applyProtection="0">
      <alignment horizontal="left" vertical="top"/>
    </xf>
    <xf numFmtId="0" fontId="275" fillId="0" borderId="0"/>
    <xf numFmtId="217" fontId="276" fillId="0" borderId="0" applyNumberFormat="0" applyFill="0" applyBorder="0">
      <alignment horizontal="left"/>
    </xf>
    <xf numFmtId="217" fontId="276" fillId="0" borderId="0" applyNumberFormat="0" applyFill="0" applyBorder="0">
      <alignment horizontal="right"/>
    </xf>
    <xf numFmtId="217" fontId="277" fillId="0" borderId="0" applyNumberFormat="0" applyFill="0" applyBorder="0">
      <alignment horizontal="right"/>
    </xf>
    <xf numFmtId="49" fontId="278" fillId="0" borderId="0"/>
    <xf numFmtId="0" fontId="279" fillId="0" borderId="7" applyFill="0" applyBorder="0" applyProtection="0"/>
    <xf numFmtId="0" fontId="279" fillId="0" borderId="0"/>
    <xf numFmtId="0" fontId="280" fillId="0" borderId="0" applyNumberFormat="0" applyFill="0" applyBorder="0" applyProtection="0"/>
    <xf numFmtId="0" fontId="281" fillId="0" borderId="0" applyFill="0" applyBorder="0" applyProtection="0"/>
    <xf numFmtId="0" fontId="282" fillId="0" borderId="0"/>
    <xf numFmtId="0" fontId="281" fillId="0" borderId="0" applyNumberFormat="0" applyFill="0" applyBorder="0" applyProtection="0"/>
    <xf numFmtId="0" fontId="283" fillId="0" borderId="0" applyFill="0" applyBorder="0" applyProtection="0"/>
    <xf numFmtId="0" fontId="280" fillId="0" borderId="0" applyNumberFormat="0" applyFill="0" applyBorder="0" applyProtection="0"/>
    <xf numFmtId="0" fontId="280" fillId="0" borderId="0"/>
    <xf numFmtId="14" fontId="8" fillId="0" borderId="0" applyFill="0" applyBorder="0">
      <alignment vertical="center"/>
    </xf>
    <xf numFmtId="0" fontId="226" fillId="0" borderId="0" applyNumberFormat="0" applyFill="0" applyBorder="0" applyAlignment="0" applyProtection="0"/>
    <xf numFmtId="0" fontId="284" fillId="0" borderId="0" applyNumberFormat="0" applyFill="0" applyBorder="0" applyAlignment="0" applyProtection="0"/>
    <xf numFmtId="38" fontId="285" fillId="0" borderId="0" applyNumberFormat="0" applyFill="0" applyBorder="0">
      <alignment horizontal="left" vertical="center"/>
    </xf>
    <xf numFmtId="38" fontId="286" fillId="0" borderId="0" applyNumberFormat="0" applyFill="0" applyBorder="0">
      <alignment horizontal="centerContinuous" vertical="center"/>
    </xf>
    <xf numFmtId="183" fontId="287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89" fillId="0" borderId="0"/>
    <xf numFmtId="0" fontId="281" fillId="0" borderId="0"/>
    <xf numFmtId="0" fontId="280" fillId="0" borderId="0"/>
    <xf numFmtId="324" fontId="227" fillId="0" borderId="0" applyFill="0" applyBorder="0" applyProtection="0"/>
    <xf numFmtId="364" fontId="227" fillId="0" borderId="0" applyFill="0" applyBorder="0" applyProtection="0"/>
    <xf numFmtId="328" fontId="227" fillId="0" borderId="49" applyFill="0" applyBorder="0" applyProtection="0">
      <alignment vertical="center"/>
    </xf>
    <xf numFmtId="0" fontId="8" fillId="0" borderId="12">
      <protection locked="0"/>
    </xf>
    <xf numFmtId="227" fontId="8" fillId="0" borderId="12">
      <alignment horizontal="right"/>
      <protection locked="0"/>
    </xf>
    <xf numFmtId="0" fontId="290" fillId="0" borderId="0">
      <alignment horizontal="right"/>
    </xf>
    <xf numFmtId="37" fontId="291" fillId="0" borderId="0"/>
    <xf numFmtId="227" fontId="111" fillId="0" borderId="0" applyNumberFormat="0" applyBorder="0" applyAlignment="0"/>
    <xf numFmtId="183" fontId="87" fillId="85" borderId="48">
      <alignment horizontal="right"/>
    </xf>
    <xf numFmtId="183" fontId="171" fillId="85" borderId="48"/>
    <xf numFmtId="0" fontId="11" fillId="51" borderId="58">
      <alignment horizontal="left"/>
    </xf>
    <xf numFmtId="365" fontId="8" fillId="0" borderId="0" applyFont="0" applyFill="0" applyBorder="0" applyAlignment="0" applyProtection="0"/>
    <xf numFmtId="340" fontId="8" fillId="0" borderId="0" applyFont="0" applyFill="0" applyBorder="0" applyAlignment="0" applyProtection="0"/>
    <xf numFmtId="366" fontId="111" fillId="0" borderId="0"/>
    <xf numFmtId="1" fontId="56" fillId="0" borderId="0" applyFont="0" applyFill="0" applyBorder="0" applyAlignment="0" applyProtection="0"/>
    <xf numFmtId="0" fontId="143" fillId="0" borderId="0"/>
    <xf numFmtId="1" fontId="143" fillId="0" borderId="0"/>
    <xf numFmtId="217" fontId="53" fillId="0" borderId="0"/>
    <xf numFmtId="1" fontId="292" fillId="0" borderId="6" applyFill="0" applyProtection="0">
      <alignment horizontal="right"/>
    </xf>
    <xf numFmtId="367" fontId="8" fillId="0" borderId="0"/>
    <xf numFmtId="0" fontId="8" fillId="0" borderId="4" applyBorder="0" applyProtection="0">
      <alignment horizontal="right"/>
    </xf>
    <xf numFmtId="368" fontId="8" fillId="0" borderId="0" applyFill="0" applyBorder="0">
      <alignment vertical="center"/>
    </xf>
    <xf numFmtId="0" fontId="293" fillId="0" borderId="0" applyFont="0" applyFill="0" applyBorder="0">
      <alignment horizontal="right"/>
    </xf>
    <xf numFmtId="369" fontId="87" fillId="0" borderId="0" applyFill="0" applyBorder="0" applyAlignment="0" applyProtection="0"/>
    <xf numFmtId="0" fontId="294" fillId="0" borderId="0"/>
  </cellStyleXfs>
  <cellXfs count="748">
    <xf numFmtId="0" fontId="0" fillId="0" borderId="0" xfId="0"/>
    <xf numFmtId="228" fontId="1" fillId="0" borderId="0" xfId="3" applyNumberFormat="1" applyFont="1"/>
    <xf numFmtId="9" fontId="1" fillId="0" borderId="0" xfId="3" applyFont="1"/>
    <xf numFmtId="0" fontId="2" fillId="0" borderId="0" xfId="0" applyFont="1"/>
    <xf numFmtId="0" fontId="1" fillId="0" borderId="0" xfId="0" applyFont="1"/>
    <xf numFmtId="228" fontId="3" fillId="0" borderId="0" xfId="3" applyNumberFormat="1" applyFont="1"/>
    <xf numFmtId="0" fontId="3" fillId="0" borderId="0" xfId="0" applyFont="1"/>
    <xf numFmtId="1" fontId="4" fillId="2" borderId="0" xfId="0" applyNumberFormat="1" applyFont="1" applyFill="1"/>
    <xf numFmtId="0" fontId="3" fillId="2" borderId="0" xfId="0" applyFont="1" applyFill="1"/>
    <xf numFmtId="231" fontId="5" fillId="2" borderId="0" xfId="0" applyNumberFormat="1" applyFont="1" applyFill="1"/>
    <xf numFmtId="0" fontId="4" fillId="2" borderId="1" xfId="0" applyFont="1" applyFill="1" applyBorder="1"/>
    <xf numFmtId="370" fontId="4" fillId="2" borderId="2" xfId="0" applyNumberFormat="1" applyFont="1" applyFill="1" applyBorder="1" applyAlignment="1">
      <alignment horizontal="center" vertical="center"/>
    </xf>
    <xf numFmtId="370" fontId="4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/>
    <xf numFmtId="370" fontId="4" fillId="2" borderId="4" xfId="0" applyNumberFormat="1" applyFont="1" applyFill="1" applyBorder="1" applyAlignment="1">
      <alignment horizontal="center" vertical="center"/>
    </xf>
    <xf numFmtId="370" fontId="4" fillId="2" borderId="3" xfId="0" applyNumberFormat="1" applyFont="1" applyFill="1" applyBorder="1" applyAlignment="1">
      <alignment horizontal="center" vertical="center"/>
    </xf>
    <xf numFmtId="228" fontId="3" fillId="3" borderId="5" xfId="3" applyNumberFormat="1" applyFont="1" applyFill="1" applyBorder="1" applyAlignment="1">
      <alignment horizontal="left" indent="1"/>
    </xf>
    <xf numFmtId="228" fontId="1" fillId="3" borderId="0" xfId="3" applyNumberFormat="1" applyFont="1" applyFill="1" applyBorder="1" applyAlignment="1">
      <alignment horizontal="center"/>
    </xf>
    <xf numFmtId="228" fontId="1" fillId="3" borderId="5" xfId="3" applyNumberFormat="1" applyFont="1" applyFill="1" applyBorder="1" applyAlignment="1">
      <alignment horizontal="center"/>
    </xf>
    <xf numFmtId="228" fontId="3" fillId="0" borderId="5" xfId="3" applyNumberFormat="1" applyFont="1" applyBorder="1" applyAlignment="1">
      <alignment horizontal="left" indent="1"/>
    </xf>
    <xf numFmtId="228" fontId="1" fillId="0" borderId="0" xfId="3" applyNumberFormat="1" applyFont="1" applyBorder="1" applyAlignment="1">
      <alignment horizontal="center"/>
    </xf>
    <xf numFmtId="228" fontId="1" fillId="0" borderId="5" xfId="3" applyNumberFormat="1" applyFont="1" applyBorder="1" applyAlignment="1">
      <alignment horizontal="center"/>
    </xf>
    <xf numFmtId="370" fontId="4" fillId="2" borderId="0" xfId="0" applyNumberFormat="1" applyFont="1" applyFill="1" applyAlignment="1">
      <alignment horizontal="center" vertical="center"/>
    </xf>
    <xf numFmtId="370" fontId="4" fillId="2" borderId="5" xfId="0" applyNumberFormat="1" applyFont="1" applyFill="1" applyBorder="1" applyAlignment="1">
      <alignment horizontal="center" vertical="center"/>
    </xf>
    <xf numFmtId="370" fontId="4" fillId="2" borderId="6" xfId="0" applyNumberFormat="1" applyFont="1" applyFill="1" applyBorder="1" applyAlignment="1">
      <alignment horizontal="center" vertical="center"/>
    </xf>
    <xf numFmtId="231" fontId="3" fillId="3" borderId="5" xfId="0" applyNumberFormat="1" applyFont="1" applyFill="1" applyBorder="1" applyAlignment="1">
      <alignment horizontal="left"/>
    </xf>
    <xf numFmtId="3" fontId="3" fillId="3" borderId="0" xfId="0" applyNumberFormat="1" applyFont="1" applyFill="1" applyAlignment="1">
      <alignment horizontal="center"/>
    </xf>
    <xf numFmtId="3" fontId="3" fillId="3" borderId="5" xfId="0" applyNumberFormat="1" applyFont="1" applyFill="1" applyBorder="1" applyAlignment="1">
      <alignment horizontal="center"/>
    </xf>
    <xf numFmtId="228" fontId="1" fillId="3" borderId="5" xfId="3" applyNumberFormat="1" applyFont="1" applyFill="1" applyBorder="1" applyAlignment="1">
      <alignment horizontal="left" indent="2"/>
    </xf>
    <xf numFmtId="9" fontId="1" fillId="3" borderId="0" xfId="3" applyFont="1" applyFill="1" applyBorder="1" applyAlignment="1">
      <alignment horizontal="center"/>
    </xf>
    <xf numFmtId="9" fontId="1" fillId="3" borderId="5" xfId="3" applyFont="1" applyFill="1" applyBorder="1" applyAlignment="1">
      <alignment horizontal="center"/>
    </xf>
    <xf numFmtId="9" fontId="1" fillId="3" borderId="5" xfId="3" applyFont="1" applyFill="1" applyBorder="1" applyAlignment="1">
      <alignment horizontal="left" indent="2"/>
    </xf>
    <xf numFmtId="228" fontId="1" fillId="3" borderId="5" xfId="3" applyNumberFormat="1" applyFont="1" applyFill="1" applyBorder="1" applyAlignment="1">
      <alignment horizontal="left" indent="1"/>
    </xf>
    <xf numFmtId="0" fontId="3" fillId="0" borderId="7" xfId="0" applyFont="1" applyBorder="1"/>
    <xf numFmtId="9" fontId="1" fillId="0" borderId="0" xfId="3" applyFont="1" applyBorder="1" applyAlignment="1">
      <alignment horizontal="center"/>
    </xf>
    <xf numFmtId="9" fontId="1" fillId="0" borderId="5" xfId="3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1" fillId="0" borderId="7" xfId="0" applyFont="1" applyBorder="1"/>
    <xf numFmtId="231" fontId="2" fillId="0" borderId="5" xfId="0" applyNumberFormat="1" applyFont="1" applyBorder="1"/>
    <xf numFmtId="231" fontId="2" fillId="0" borderId="0" xfId="0" applyNumberFormat="1" applyFont="1" applyAlignment="1">
      <alignment horizontal="center"/>
    </xf>
    <xf numFmtId="231" fontId="2" fillId="0" borderId="5" xfId="0" applyNumberFormat="1" applyFont="1" applyBorder="1" applyAlignment="1">
      <alignment horizontal="center"/>
    </xf>
    <xf numFmtId="228" fontId="1" fillId="0" borderId="5" xfId="3" applyNumberFormat="1" applyFont="1" applyBorder="1" applyAlignment="1">
      <alignment horizontal="left" indent="1"/>
    </xf>
    <xf numFmtId="231" fontId="1" fillId="0" borderId="8" xfId="0" applyNumberFormat="1" applyFont="1" applyBorder="1" applyAlignment="1">
      <alignment horizontal="left" indent="1"/>
    </xf>
    <xf numFmtId="228" fontId="1" fillId="0" borderId="9" xfId="3" applyNumberFormat="1" applyFont="1" applyBorder="1" applyAlignment="1">
      <alignment horizontal="center"/>
    </xf>
    <xf numFmtId="228" fontId="1" fillId="0" borderId="8" xfId="3" applyNumberFormat="1" applyFont="1" applyBorder="1" applyAlignment="1">
      <alignment horizontal="center"/>
    </xf>
    <xf numFmtId="9" fontId="1" fillId="0" borderId="8" xfId="3" applyFont="1" applyBorder="1" applyAlignment="1">
      <alignment horizontal="center"/>
    </xf>
    <xf numFmtId="9" fontId="1" fillId="0" borderId="9" xfId="3" applyFont="1" applyBorder="1" applyAlignment="1">
      <alignment horizontal="center"/>
    </xf>
    <xf numFmtId="231" fontId="2" fillId="0" borderId="10" xfId="0" applyNumberFormat="1" applyFont="1" applyBorder="1" applyAlignment="1">
      <alignment horizontal="center"/>
    </xf>
    <xf numFmtId="231" fontId="2" fillId="0" borderId="11" xfId="0" applyNumberFormat="1" applyFont="1" applyBorder="1" applyAlignment="1">
      <alignment horizontal="center"/>
    </xf>
    <xf numFmtId="231" fontId="1" fillId="0" borderId="5" xfId="0" applyNumberFormat="1" applyFont="1" applyBorder="1" applyAlignment="1">
      <alignment horizontal="left" indent="1"/>
    </xf>
    <xf numFmtId="371" fontId="1" fillId="0" borderId="0" xfId="3" applyNumberFormat="1" applyFont="1" applyBorder="1" applyAlignment="1">
      <alignment horizontal="center"/>
    </xf>
    <xf numFmtId="371" fontId="1" fillId="0" borderId="5" xfId="3" applyNumberFormat="1" applyFont="1" applyBorder="1" applyAlignment="1">
      <alignment horizontal="center"/>
    </xf>
    <xf numFmtId="228" fontId="1" fillId="0" borderId="8" xfId="3" applyNumberFormat="1" applyFont="1" applyBorder="1" applyAlignment="1">
      <alignment horizontal="left" indent="1"/>
    </xf>
    <xf numFmtId="231" fontId="3" fillId="3" borderId="5" xfId="0" applyNumberFormat="1" applyFont="1" applyFill="1" applyBorder="1" applyAlignment="1">
      <alignment horizontal="left" indent="1"/>
    </xf>
    <xf numFmtId="3" fontId="6" fillId="3" borderId="0" xfId="0" applyNumberFormat="1" applyFont="1" applyFill="1" applyAlignment="1">
      <alignment horizontal="center"/>
    </xf>
    <xf numFmtId="3" fontId="6" fillId="3" borderId="5" xfId="0" applyNumberFormat="1" applyFont="1" applyFill="1" applyBorder="1" applyAlignment="1">
      <alignment horizontal="center"/>
    </xf>
    <xf numFmtId="231" fontId="2" fillId="3" borderId="5" xfId="0" applyNumberFormat="1" applyFont="1" applyFill="1" applyBorder="1"/>
    <xf numFmtId="371" fontId="1" fillId="0" borderId="9" xfId="3" applyNumberFormat="1" applyFont="1" applyBorder="1" applyAlignment="1">
      <alignment horizontal="center"/>
    </xf>
    <xf numFmtId="371" fontId="1" fillId="0" borderId="8" xfId="3" applyNumberFormat="1" applyFont="1" applyBorder="1" applyAlignment="1">
      <alignment horizontal="center"/>
    </xf>
    <xf numFmtId="231" fontId="3" fillId="0" borderId="5" xfId="0" applyNumberFormat="1" applyFont="1" applyBorder="1"/>
    <xf numFmtId="231" fontId="3" fillId="0" borderId="0" xfId="0" applyNumberFormat="1" applyFont="1" applyAlignment="1">
      <alignment horizontal="center"/>
    </xf>
    <xf numFmtId="231" fontId="3" fillId="0" borderId="5" xfId="0" applyNumberFormat="1" applyFont="1" applyBorder="1" applyAlignment="1">
      <alignment horizontal="center"/>
    </xf>
    <xf numFmtId="4" fontId="2" fillId="4" borderId="12" xfId="0" applyNumberFormat="1" applyFont="1" applyFill="1" applyBorder="1"/>
    <xf numFmtId="368" fontId="2" fillId="4" borderId="6" xfId="0" applyNumberFormat="1" applyFont="1" applyFill="1" applyBorder="1" applyAlignment="1">
      <alignment horizontal="center"/>
    </xf>
    <xf numFmtId="368" fontId="2" fillId="4" borderId="12" xfId="0" applyNumberFormat="1" applyFont="1" applyFill="1" applyBorder="1" applyAlignment="1">
      <alignment horizontal="center"/>
    </xf>
    <xf numFmtId="228" fontId="1" fillId="0" borderId="0" xfId="3" applyNumberFormat="1" applyFont="1" applyBorder="1" applyAlignment="1">
      <alignment horizontal="right"/>
    </xf>
    <xf numFmtId="228" fontId="1" fillId="0" borderId="5" xfId="3" applyNumberFormat="1" applyFont="1" applyBorder="1" applyAlignment="1">
      <alignment horizontal="right"/>
    </xf>
    <xf numFmtId="368" fontId="2" fillId="4" borderId="1" xfId="0" applyNumberFormat="1" applyFont="1" applyFill="1" applyBorder="1" applyAlignment="1">
      <alignment horizontal="center"/>
    </xf>
    <xf numFmtId="368" fontId="2" fillId="4" borderId="2" xfId="0" applyNumberFormat="1" applyFont="1" applyFill="1" applyBorder="1" applyAlignment="1">
      <alignment horizontal="center"/>
    </xf>
    <xf numFmtId="0" fontId="4" fillId="2" borderId="12" xfId="0" applyFont="1" applyFill="1" applyBorder="1"/>
    <xf numFmtId="0" fontId="5" fillId="2" borderId="6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372" fontId="3" fillId="0" borderId="0" xfId="0" applyNumberFormat="1" applyFont="1" applyAlignment="1">
      <alignment horizontal="center"/>
    </xf>
    <xf numFmtId="0" fontId="3" fillId="0" borderId="5" xfId="0" applyFont="1" applyBorder="1"/>
    <xf numFmtId="228" fontId="3" fillId="0" borderId="5" xfId="3" applyNumberFormat="1" applyFont="1" applyBorder="1"/>
    <xf numFmtId="228" fontId="3" fillId="0" borderId="0" xfId="3" applyNumberFormat="1" applyFont="1" applyBorder="1" applyAlignment="1">
      <alignment horizontal="center"/>
    </xf>
    <xf numFmtId="228" fontId="3" fillId="0" borderId="5" xfId="3" applyNumberFormat="1" applyFont="1" applyBorder="1" applyAlignment="1">
      <alignment horizontal="center"/>
    </xf>
    <xf numFmtId="372" fontId="3" fillId="0" borderId="5" xfId="0" applyNumberFormat="1" applyFont="1" applyBorder="1" applyAlignment="1">
      <alignment horizontal="center"/>
    </xf>
    <xf numFmtId="0" fontId="3" fillId="0" borderId="3" xfId="0" applyFont="1" applyBorder="1"/>
    <xf numFmtId="372" fontId="3" fillId="0" borderId="4" xfId="0" applyNumberFormat="1" applyFont="1" applyBorder="1" applyAlignment="1">
      <alignment horizontal="center"/>
    </xf>
    <xf numFmtId="372" fontId="3" fillId="0" borderId="3" xfId="0" applyNumberFormat="1" applyFont="1" applyBorder="1" applyAlignment="1">
      <alignment horizontal="center"/>
    </xf>
    <xf numFmtId="228" fontId="3" fillId="0" borderId="3" xfId="3" applyNumberFormat="1" applyFont="1" applyBorder="1" applyAlignment="1">
      <alignment horizontal="center"/>
    </xf>
    <xf numFmtId="228" fontId="3" fillId="0" borderId="4" xfId="3" applyNumberFormat="1" applyFont="1" applyBorder="1" applyAlignment="1">
      <alignment horizontal="center"/>
    </xf>
    <xf numFmtId="0" fontId="5" fillId="0" borderId="0" xfId="0" applyFont="1"/>
    <xf numFmtId="0" fontId="7" fillId="0" borderId="0" xfId="0" applyFont="1"/>
    <xf numFmtId="0" fontId="6" fillId="0" borderId="0" xfId="0" applyFont="1"/>
    <xf numFmtId="228" fontId="1" fillId="0" borderId="0" xfId="3" applyNumberFormat="1" applyFont="1" applyFill="1"/>
    <xf numFmtId="231" fontId="3" fillId="0" borderId="0" xfId="0" applyNumberFormat="1" applyFont="1"/>
    <xf numFmtId="231" fontId="2" fillId="0" borderId="0" xfId="0" applyNumberFormat="1" applyFont="1"/>
    <xf numFmtId="1" fontId="2" fillId="0" borderId="0" xfId="0" applyNumberFormat="1" applyFont="1"/>
    <xf numFmtId="3" fontId="3" fillId="0" borderId="0" xfId="0" applyNumberFormat="1" applyFont="1"/>
    <xf numFmtId="0" fontId="3" fillId="0" borderId="0" xfId="0" applyFont="1" applyFill="1"/>
    <xf numFmtId="0" fontId="2" fillId="0" borderId="0" xfId="0" applyFont="1" applyFill="1"/>
    <xf numFmtId="231" fontId="3" fillId="0" borderId="0" xfId="0" applyNumberFormat="1" applyFont="1" applyFill="1"/>
    <xf numFmtId="231" fontId="2" fillId="0" borderId="0" xfId="0" applyNumberFormat="1" applyFont="1" applyFill="1"/>
    <xf numFmtId="227" fontId="2" fillId="0" borderId="0" xfId="0" applyNumberFormat="1" applyFont="1"/>
    <xf numFmtId="0" fontId="4" fillId="2" borderId="13" xfId="0" applyFont="1" applyFill="1" applyBorder="1"/>
    <xf numFmtId="0" fontId="3" fillId="2" borderId="13" xfId="0" applyFont="1" applyFill="1" applyBorder="1"/>
    <xf numFmtId="0" fontId="3" fillId="2" borderId="2" xfId="0" applyFont="1" applyFill="1" applyBorder="1"/>
    <xf numFmtId="0" fontId="4" fillId="2" borderId="7" xfId="0" applyFont="1" applyFill="1" applyBorder="1"/>
    <xf numFmtId="0" fontId="3" fillId="2" borderId="7" xfId="0" applyFont="1" applyFill="1" applyBorder="1"/>
    <xf numFmtId="228" fontId="5" fillId="2" borderId="0" xfId="2370" applyNumberFormat="1" applyFont="1" applyFill="1" applyBorder="1" applyAlignment="1">
      <alignment horizontal="right"/>
    </xf>
    <xf numFmtId="373" fontId="5" fillId="2" borderId="0" xfId="2370" applyNumberFormat="1" applyFont="1" applyFill="1" applyBorder="1" applyAlignment="1">
      <alignment horizontal="right"/>
    </xf>
    <xf numFmtId="0" fontId="5" fillId="2" borderId="7" xfId="0" applyFont="1" applyFill="1" applyBorder="1"/>
    <xf numFmtId="4" fontId="5" fillId="2" borderId="0" xfId="0" applyNumberFormat="1" applyFont="1" applyFill="1"/>
    <xf numFmtId="4" fontId="5" fillId="2" borderId="0" xfId="2295" applyNumberFormat="1" applyFont="1" applyFill="1" applyAlignment="1">
      <alignment horizontal="right"/>
    </xf>
    <xf numFmtId="4" fontId="5" fillId="2" borderId="4" xfId="2295" applyNumberFormat="1" applyFont="1" applyFill="1" applyBorder="1" applyAlignment="1">
      <alignment horizontal="right"/>
    </xf>
    <xf numFmtId="0" fontId="5" fillId="0" borderId="14" xfId="0" applyFont="1" applyBorder="1"/>
    <xf numFmtId="4" fontId="3" fillId="0" borderId="4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15" xfId="0" applyFont="1" applyFill="1" applyBorder="1"/>
    <xf numFmtId="0" fontId="5" fillId="2" borderId="6" xfId="0" applyFont="1" applyFill="1" applyBorder="1"/>
    <xf numFmtId="0" fontId="5" fillId="2" borderId="16" xfId="0" applyFont="1" applyFill="1" applyBorder="1"/>
    <xf numFmtId="0" fontId="2" fillId="4" borderId="14" xfId="0" applyFont="1" applyFill="1" applyBorder="1"/>
    <xf numFmtId="0" fontId="3" fillId="4" borderId="4" xfId="0" applyFont="1" applyFill="1" applyBorder="1"/>
    <xf numFmtId="0" fontId="3" fillId="4" borderId="6" xfId="0" applyFont="1" applyFill="1" applyBorder="1"/>
    <xf numFmtId="0" fontId="3" fillId="4" borderId="17" xfId="0" applyFont="1" applyFill="1" applyBorder="1"/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74" fontId="3" fillId="0" borderId="0" xfId="0" applyNumberFormat="1" applyFont="1" applyAlignment="1">
      <alignment horizontal="right"/>
    </xf>
    <xf numFmtId="9" fontId="3" fillId="0" borderId="0" xfId="3" applyFont="1" applyAlignment="1">
      <alignment horizontal="right"/>
    </xf>
    <xf numFmtId="0" fontId="3" fillId="0" borderId="7" xfId="0" applyFont="1" applyBorder="1" applyAlignment="1">
      <alignment horizontal="left" indent="1"/>
    </xf>
    <xf numFmtId="231" fontId="3" fillId="0" borderId="5" xfId="0" applyNumberFormat="1" applyFont="1" applyBorder="1" applyAlignment="1">
      <alignment horizontal="right"/>
    </xf>
    <xf numFmtId="231" fontId="3" fillId="0" borderId="0" xfId="0" applyNumberFormat="1" applyFont="1" applyAlignment="1">
      <alignment horizontal="right"/>
    </xf>
    <xf numFmtId="231" fontId="3" fillId="0" borderId="0" xfId="0" applyNumberFormat="1" applyFont="1" applyFill="1" applyAlignment="1">
      <alignment horizontal="right"/>
    </xf>
    <xf numFmtId="231" fontId="3" fillId="0" borderId="5" xfId="0" applyNumberFormat="1" applyFont="1" applyFill="1" applyBorder="1" applyAlignment="1">
      <alignment horizontal="right"/>
    </xf>
    <xf numFmtId="231" fontId="8" fillId="0" borderId="0" xfId="0" applyNumberFormat="1" applyFont="1" applyFill="1" applyAlignment="1">
      <alignment horizontal="right"/>
    </xf>
    <xf numFmtId="231" fontId="8" fillId="0" borderId="5" xfId="0" applyNumberFormat="1" applyFont="1" applyFill="1" applyBorder="1" applyAlignment="1">
      <alignment horizontal="right"/>
    </xf>
    <xf numFmtId="0" fontId="2" fillId="0" borderId="7" xfId="0" applyFont="1" applyBorder="1"/>
    <xf numFmtId="231" fontId="2" fillId="0" borderId="5" xfId="0" applyNumberFormat="1" applyFont="1" applyBorder="1" applyAlignment="1">
      <alignment horizontal="right"/>
    </xf>
    <xf numFmtId="231" fontId="2" fillId="0" borderId="0" xfId="0" applyNumberFormat="1" applyFont="1" applyAlignment="1">
      <alignment horizontal="right"/>
    </xf>
    <xf numFmtId="231" fontId="2" fillId="0" borderId="0" xfId="0" applyNumberFormat="1" applyFont="1" applyFill="1" applyAlignment="1">
      <alignment horizontal="right"/>
    </xf>
    <xf numFmtId="231" fontId="2" fillId="0" borderId="5" xfId="0" applyNumberFormat="1" applyFont="1" applyFill="1" applyBorder="1" applyAlignment="1">
      <alignment horizontal="right"/>
    </xf>
    <xf numFmtId="231" fontId="9" fillId="0" borderId="0" xfId="0" applyNumberFormat="1" applyFont="1" applyFill="1" applyAlignment="1">
      <alignment horizontal="right"/>
    </xf>
    <xf numFmtId="231" fontId="9" fillId="0" borderId="5" xfId="0" applyNumberFormat="1" applyFont="1" applyFill="1" applyBorder="1" applyAlignment="1">
      <alignment horizontal="right"/>
    </xf>
    <xf numFmtId="231" fontId="10" fillId="0" borderId="0" xfId="0" applyNumberFormat="1" applyFont="1" applyFill="1" applyAlignment="1">
      <alignment horizontal="right"/>
    </xf>
    <xf numFmtId="228" fontId="7" fillId="0" borderId="5" xfId="0" applyNumberFormat="1" applyFont="1" applyBorder="1" applyAlignment="1">
      <alignment horizontal="right"/>
    </xf>
    <xf numFmtId="228" fontId="7" fillId="0" borderId="0" xfId="0" applyNumberFormat="1" applyFont="1" applyAlignment="1">
      <alignment horizontal="right"/>
    </xf>
    <xf numFmtId="228" fontId="1" fillId="0" borderId="5" xfId="3" applyNumberFormat="1" applyFont="1" applyFill="1" applyBorder="1" applyAlignment="1">
      <alignment horizontal="right"/>
    </xf>
    <xf numFmtId="228" fontId="1" fillId="0" borderId="0" xfId="3" applyNumberFormat="1" applyFont="1" applyFill="1" applyAlignment="1">
      <alignment horizontal="right"/>
    </xf>
    <xf numFmtId="228" fontId="11" fillId="0" borderId="0" xfId="3" applyNumberFormat="1" applyFont="1" applyFill="1" applyAlignment="1">
      <alignment horizontal="right"/>
    </xf>
    <xf numFmtId="228" fontId="11" fillId="0" borderId="5" xfId="3" applyNumberFormat="1" applyFont="1" applyFill="1" applyBorder="1" applyAlignment="1">
      <alignment horizontal="right"/>
    </xf>
    <xf numFmtId="0" fontId="1" fillId="0" borderId="7" xfId="0" applyFont="1" applyBorder="1" applyAlignment="1">
      <alignment horizontal="left" indent="1"/>
    </xf>
    <xf numFmtId="0" fontId="7" fillId="0" borderId="5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5" xfId="0" applyFont="1" applyBorder="1" applyAlignment="1">
      <alignment horizontal="right"/>
    </xf>
    <xf numFmtId="0" fontId="1" fillId="3" borderId="7" xfId="0" applyFont="1" applyFill="1" applyBorder="1"/>
    <xf numFmtId="228" fontId="1" fillId="3" borderId="5" xfId="0" applyNumberFormat="1" applyFont="1" applyFill="1" applyBorder="1" applyAlignment="1">
      <alignment horizontal="right"/>
    </xf>
    <xf numFmtId="228" fontId="1" fillId="3" borderId="0" xfId="0" applyNumberFormat="1" applyFont="1" applyFill="1" applyAlignment="1">
      <alignment horizontal="right"/>
    </xf>
    <xf numFmtId="228" fontId="1" fillId="3" borderId="18" xfId="0" applyNumberFormat="1" applyFont="1" applyFill="1" applyBorder="1" applyAlignment="1">
      <alignment horizontal="right"/>
    </xf>
    <xf numFmtId="228" fontId="13" fillId="3" borderId="0" xfId="0" applyNumberFormat="1" applyFont="1" applyFill="1" applyAlignment="1">
      <alignment horizontal="right"/>
    </xf>
    <xf numFmtId="228" fontId="11" fillId="3" borderId="0" xfId="0" applyNumberFormat="1" applyFont="1" applyFill="1" applyAlignment="1">
      <alignment horizontal="right"/>
    </xf>
    <xf numFmtId="228" fontId="11" fillId="3" borderId="5" xfId="0" applyNumberFormat="1" applyFont="1" applyFill="1" applyBorder="1" applyAlignment="1">
      <alignment horizontal="right"/>
    </xf>
    <xf numFmtId="228" fontId="1" fillId="0" borderId="5" xfId="0" applyNumberFormat="1" applyFont="1" applyBorder="1" applyAlignment="1">
      <alignment horizontal="right"/>
    </xf>
    <xf numFmtId="228" fontId="1" fillId="0" borderId="0" xfId="0" applyNumberFormat="1" applyFont="1" applyAlignment="1">
      <alignment horizontal="right"/>
    </xf>
    <xf numFmtId="228" fontId="11" fillId="0" borderId="0" xfId="0" applyNumberFormat="1" applyFont="1" applyAlignment="1">
      <alignment horizontal="right"/>
    </xf>
    <xf numFmtId="228" fontId="11" fillId="0" borderId="5" xfId="0" applyNumberFormat="1" applyFont="1" applyBorder="1" applyAlignment="1">
      <alignment horizontal="right"/>
    </xf>
    <xf numFmtId="0" fontId="7" fillId="0" borderId="7" xfId="0" applyFont="1" applyBorder="1"/>
    <xf numFmtId="228" fontId="7" fillId="0" borderId="0" xfId="3" applyNumberFormat="1" applyFont="1" applyFill="1" applyAlignment="1">
      <alignment horizontal="right"/>
    </xf>
    <xf numFmtId="228" fontId="7" fillId="0" borderId="5" xfId="3" applyNumberFormat="1" applyFont="1" applyFill="1" applyBorder="1" applyAlignment="1">
      <alignment horizontal="right"/>
    </xf>
    <xf numFmtId="228" fontId="14" fillId="0" borderId="0" xfId="3" applyNumberFormat="1" applyFont="1" applyFill="1" applyAlignment="1">
      <alignment horizontal="right"/>
    </xf>
    <xf numFmtId="228" fontId="12" fillId="0" borderId="0" xfId="3" applyNumberFormat="1" applyFont="1" applyFill="1" applyAlignment="1">
      <alignment horizontal="right"/>
    </xf>
    <xf numFmtId="228" fontId="12" fillId="0" borderId="5" xfId="3" applyNumberFormat="1" applyFont="1" applyFill="1" applyBorder="1" applyAlignment="1">
      <alignment horizontal="right"/>
    </xf>
    <xf numFmtId="0" fontId="10" fillId="0" borderId="7" xfId="0" applyFont="1" applyBorder="1"/>
    <xf numFmtId="0" fontId="6" fillId="0" borderId="5" xfId="0" applyFont="1" applyBorder="1" applyAlignment="1">
      <alignment horizontal="right"/>
    </xf>
    <xf numFmtId="0" fontId="6" fillId="0" borderId="0" xfId="0" applyFont="1" applyAlignment="1">
      <alignment horizontal="right"/>
    </xf>
    <xf numFmtId="231" fontId="6" fillId="0" borderId="0" xfId="0" applyNumberFormat="1" applyFont="1" applyAlignment="1">
      <alignment horizontal="right"/>
    </xf>
    <xf numFmtId="231" fontId="6" fillId="0" borderId="5" xfId="0" applyNumberFormat="1" applyFont="1" applyBorder="1" applyAlignment="1">
      <alignment horizontal="right"/>
    </xf>
    <xf numFmtId="231" fontId="6" fillId="0" borderId="0" xfId="0" applyNumberFormat="1" applyFont="1" applyFill="1" applyAlignment="1">
      <alignment horizontal="right"/>
    </xf>
    <xf numFmtId="231" fontId="8" fillId="0" borderId="0" xfId="0" applyNumberFormat="1" applyFont="1" applyAlignment="1">
      <alignment horizontal="right"/>
    </xf>
    <xf numFmtId="231" fontId="8" fillId="0" borderId="5" xfId="0" applyNumberFormat="1" applyFont="1" applyBorder="1" applyAlignment="1">
      <alignment horizontal="right"/>
    </xf>
    <xf numFmtId="228" fontId="1" fillId="0" borderId="7" xfId="3" applyNumberFormat="1" applyFont="1" applyBorder="1" applyAlignment="1">
      <alignment horizontal="left" indent="1"/>
    </xf>
    <xf numFmtId="231" fontId="2" fillId="0" borderId="7" xfId="0" applyNumberFormat="1" applyFont="1" applyBorder="1"/>
    <xf numFmtId="231" fontId="9" fillId="0" borderId="5" xfId="0" applyNumberFormat="1" applyFont="1" applyBorder="1" applyAlignment="1">
      <alignment horizontal="right"/>
    </xf>
    <xf numFmtId="231" fontId="9" fillId="0" borderId="0" xfId="0" applyNumberFormat="1" applyFont="1" applyAlignment="1">
      <alignment horizontal="right"/>
    </xf>
    <xf numFmtId="227" fontId="6" fillId="0" borderId="0" xfId="0" applyNumberFormat="1" applyFont="1" applyAlignment="1">
      <alignment horizontal="right"/>
    </xf>
    <xf numFmtId="231" fontId="3" fillId="0" borderId="7" xfId="0" applyNumberFormat="1" applyFont="1" applyBorder="1" applyAlignment="1">
      <alignment horizontal="left" indent="1"/>
    </xf>
    <xf numFmtId="228" fontId="3" fillId="0" borderId="5" xfId="0" applyNumberFormat="1" applyFont="1" applyBorder="1" applyAlignment="1">
      <alignment horizontal="right"/>
    </xf>
    <xf numFmtId="228" fontId="3" fillId="0" borderId="0" xfId="0" applyNumberFormat="1" applyFont="1" applyAlignment="1">
      <alignment horizontal="right"/>
    </xf>
    <xf numFmtId="227" fontId="3" fillId="0" borderId="0" xfId="0" applyNumberFormat="1" applyFont="1" applyAlignment="1">
      <alignment horizontal="right"/>
    </xf>
    <xf numFmtId="227" fontId="3" fillId="0" borderId="5" xfId="0" applyNumberFormat="1" applyFont="1" applyBorder="1" applyAlignment="1">
      <alignment horizontal="right"/>
    </xf>
    <xf numFmtId="0" fontId="2" fillId="4" borderId="15" xfId="0" applyFont="1" applyFill="1" applyBorder="1"/>
    <xf numFmtId="0" fontId="3" fillId="4" borderId="6" xfId="0" applyFont="1" applyFill="1" applyBorder="1" applyAlignment="1">
      <alignment horizontal="right"/>
    </xf>
    <xf numFmtId="0" fontId="3" fillId="4" borderId="16" xfId="0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1" fontId="2" fillId="0" borderId="7" xfId="0" applyNumberFormat="1" applyFont="1" applyBorder="1"/>
    <xf numFmtId="1" fontId="2" fillId="0" borderId="5" xfId="0" applyNumberFormat="1" applyFont="1" applyBorder="1" applyAlignment="1">
      <alignment horizontal="right"/>
    </xf>
    <xf numFmtId="1" fontId="2" fillId="0" borderId="0" xfId="0" applyNumberFormat="1" applyFont="1" applyAlignment="1">
      <alignment horizontal="right"/>
    </xf>
    <xf numFmtId="228" fontId="1" fillId="0" borderId="0" xfId="3" applyNumberFormat="1" applyFont="1" applyAlignment="1">
      <alignment horizontal="right"/>
    </xf>
    <xf numFmtId="208" fontId="3" fillId="0" borderId="0" xfId="0" applyNumberFormat="1" applyFont="1" applyAlignment="1">
      <alignment horizontal="right"/>
    </xf>
    <xf numFmtId="231" fontId="3" fillId="0" borderId="7" xfId="0" applyNumberFormat="1" applyFont="1" applyBorder="1" applyAlignment="1">
      <alignment horizontal="left"/>
    </xf>
    <xf numFmtId="208" fontId="3" fillId="0" borderId="5" xfId="0" applyNumberFormat="1" applyFont="1" applyBorder="1" applyAlignment="1">
      <alignment horizontal="right"/>
    </xf>
    <xf numFmtId="208" fontId="8" fillId="0" borderId="0" xfId="0" applyNumberFormat="1" applyFont="1" applyAlignment="1">
      <alignment horizontal="right"/>
    </xf>
    <xf numFmtId="208" fontId="8" fillId="0" borderId="5" xfId="0" applyNumberFormat="1" applyFont="1" applyBorder="1" applyAlignment="1">
      <alignment horizontal="right"/>
    </xf>
    <xf numFmtId="208" fontId="8" fillId="0" borderId="0" xfId="0" applyNumberFormat="1" applyFont="1" applyFill="1" applyAlignment="1">
      <alignment horizontal="right"/>
    </xf>
    <xf numFmtId="208" fontId="3" fillId="0" borderId="5" xfId="0" applyNumberFormat="1" applyFont="1" applyFill="1" applyBorder="1" applyAlignment="1">
      <alignment horizontal="right"/>
    </xf>
    <xf numFmtId="208" fontId="2" fillId="0" borderId="0" xfId="0" applyNumberFormat="1" applyFont="1" applyAlignment="1">
      <alignment horizontal="right"/>
    </xf>
    <xf numFmtId="208" fontId="2" fillId="0" borderId="5" xfId="0" applyNumberFormat="1" applyFont="1" applyBorder="1" applyAlignment="1">
      <alignment horizontal="right"/>
    </xf>
    <xf numFmtId="208" fontId="2" fillId="0" borderId="0" xfId="0" applyNumberFormat="1" applyFont="1" applyFill="1" applyAlignment="1">
      <alignment horizontal="right"/>
    </xf>
    <xf numFmtId="208" fontId="2" fillId="0" borderId="5" xfId="0" applyNumberFormat="1" applyFont="1" applyFill="1" applyBorder="1" applyAlignment="1">
      <alignment horizontal="right"/>
    </xf>
    <xf numFmtId="231" fontId="3" fillId="0" borderId="7" xfId="0" applyNumberFormat="1" applyFont="1" applyBorder="1"/>
    <xf numFmtId="186" fontId="3" fillId="0" borderId="0" xfId="0" applyNumberFormat="1" applyFont="1" applyAlignment="1">
      <alignment horizontal="right"/>
    </xf>
    <xf numFmtId="186" fontId="3" fillId="0" borderId="5" xfId="0" applyNumberFormat="1" applyFont="1" applyBorder="1" applyAlignment="1">
      <alignment horizontal="right"/>
    </xf>
    <xf numFmtId="186" fontId="3" fillId="0" borderId="0" xfId="0" applyNumberFormat="1" applyFont="1" applyFill="1" applyAlignment="1">
      <alignment horizontal="right"/>
    </xf>
    <xf numFmtId="186" fontId="3" fillId="0" borderId="5" xfId="0" applyNumberFormat="1" applyFont="1" applyFill="1" applyBorder="1" applyAlignment="1">
      <alignment horizontal="right"/>
    </xf>
    <xf numFmtId="228" fontId="15" fillId="0" borderId="0" xfId="3" applyNumberFormat="1" applyFont="1" applyFill="1" applyAlignment="1">
      <alignment horizontal="right"/>
    </xf>
    <xf numFmtId="3" fontId="3" fillId="0" borderId="7" xfId="0" applyNumberFormat="1" applyFont="1" applyBorder="1"/>
    <xf numFmtId="3" fontId="3" fillId="0" borderId="5" xfId="0" applyNumberFormat="1" applyFont="1" applyBorder="1" applyAlignment="1">
      <alignment horizontal="right"/>
    </xf>
    <xf numFmtId="0" fontId="3" fillId="0" borderId="5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3" fontId="3" fillId="0" borderId="5" xfId="0" applyNumberFormat="1" applyFont="1" applyFill="1" applyBorder="1" applyAlignment="1">
      <alignment horizontal="right"/>
    </xf>
    <xf numFmtId="231" fontId="3" fillId="0" borderId="7" xfId="0" applyNumberFormat="1" applyFont="1" applyBorder="1" applyAlignment="1">
      <alignment horizontal="right"/>
    </xf>
    <xf numFmtId="231" fontId="3" fillId="0" borderId="18" xfId="0" applyNumberFormat="1" applyFont="1" applyBorder="1" applyAlignment="1">
      <alignment horizontal="right"/>
    </xf>
    <xf numFmtId="228" fontId="1" fillId="0" borderId="7" xfId="3" applyNumberFormat="1" applyFont="1" applyBorder="1" applyAlignment="1">
      <alignment horizontal="left" indent="2"/>
    </xf>
    <xf numFmtId="375" fontId="1" fillId="0" borderId="7" xfId="0" applyNumberFormat="1" applyFont="1" applyBorder="1" applyAlignment="1">
      <alignment horizontal="left" indent="2"/>
    </xf>
    <xf numFmtId="371" fontId="1" fillId="0" borderId="5" xfId="0" applyNumberFormat="1" applyFont="1" applyBorder="1" applyAlignment="1">
      <alignment horizontal="right"/>
    </xf>
    <xf numFmtId="371" fontId="1" fillId="0" borderId="0" xfId="0" applyNumberFormat="1" applyFont="1" applyAlignment="1">
      <alignment horizontal="right"/>
    </xf>
    <xf numFmtId="0" fontId="1" fillId="0" borderId="7" xfId="0" applyFont="1" applyBorder="1" applyAlignment="1">
      <alignment horizontal="left" indent="2"/>
    </xf>
    <xf numFmtId="228" fontId="1" fillId="0" borderId="18" xfId="3" applyNumberFormat="1" applyFont="1" applyBorder="1" applyAlignment="1">
      <alignment horizontal="right"/>
    </xf>
    <xf numFmtId="231" fontId="2" fillId="0" borderId="7" xfId="0" applyNumberFormat="1" applyFont="1" applyBorder="1" applyAlignment="1">
      <alignment horizontal="left"/>
    </xf>
    <xf numFmtId="371" fontId="1" fillId="0" borderId="18" xfId="0" applyNumberFormat="1" applyFont="1" applyBorder="1" applyAlignment="1">
      <alignment horizontal="right"/>
    </xf>
    <xf numFmtId="231" fontId="16" fillId="0" borderId="5" xfId="0" applyNumberFormat="1" applyFont="1" applyFill="1" applyBorder="1" applyAlignment="1">
      <alignment horizontal="right"/>
    </xf>
    <xf numFmtId="228" fontId="6" fillId="0" borderId="0" xfId="0" applyNumberFormat="1" applyFont="1" applyAlignment="1">
      <alignment horizontal="right"/>
    </xf>
    <xf numFmtId="231" fontId="3" fillId="5" borderId="5" xfId="0" applyNumberFormat="1" applyFont="1" applyFill="1" applyBorder="1" applyAlignment="1">
      <alignment horizontal="right"/>
    </xf>
    <xf numFmtId="228" fontId="1" fillId="5" borderId="5" xfId="3" applyNumberFormat="1" applyFont="1" applyFill="1" applyBorder="1" applyAlignment="1">
      <alignment horizontal="right"/>
    </xf>
    <xf numFmtId="0" fontId="3" fillId="0" borderId="7" xfId="0" applyFont="1" applyFill="1" applyBorder="1"/>
    <xf numFmtId="1" fontId="3" fillId="0" borderId="0" xfId="0" applyNumberFormat="1" applyFont="1" applyFill="1" applyAlignment="1">
      <alignment horizontal="right"/>
    </xf>
    <xf numFmtId="1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0" fontId="2" fillId="0" borderId="7" xfId="0" applyFont="1" applyFill="1" applyBorder="1"/>
    <xf numFmtId="0" fontId="2" fillId="0" borderId="5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1" fontId="2" fillId="0" borderId="0" xfId="0" applyNumberFormat="1" applyFont="1" applyFill="1" applyAlignment="1">
      <alignment horizontal="right"/>
    </xf>
    <xf numFmtId="1" fontId="2" fillId="0" borderId="5" xfId="0" applyNumberFormat="1" applyFont="1" applyFill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8" xfId="0" applyFont="1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3" borderId="7" xfId="0" applyFont="1" applyFill="1" applyBorder="1"/>
    <xf numFmtId="0" fontId="3" fillId="3" borderId="5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231" fontId="3" fillId="3" borderId="5" xfId="0" applyNumberFormat="1" applyFont="1" applyFill="1" applyBorder="1" applyAlignment="1">
      <alignment horizontal="right"/>
    </xf>
    <xf numFmtId="231" fontId="3" fillId="3" borderId="0" xfId="0" applyNumberFormat="1" applyFont="1" applyFill="1" applyAlignment="1">
      <alignment horizontal="right"/>
    </xf>
    <xf numFmtId="231" fontId="3" fillId="3" borderId="18" xfId="0" applyNumberFormat="1" applyFont="1" applyFill="1" applyBorder="1" applyAlignment="1">
      <alignment horizontal="right"/>
    </xf>
    <xf numFmtId="231" fontId="8" fillId="3" borderId="0" xfId="0" applyNumberFormat="1" applyFont="1" applyFill="1" applyAlignment="1">
      <alignment horizontal="right"/>
    </xf>
    <xf numFmtId="228" fontId="3" fillId="3" borderId="5" xfId="0" applyNumberFormat="1" applyFont="1" applyFill="1" applyBorder="1" applyAlignment="1">
      <alignment horizontal="right"/>
    </xf>
    <xf numFmtId="228" fontId="3" fillId="3" borderId="0" xfId="0" applyNumberFormat="1" applyFont="1" applyFill="1" applyAlignment="1">
      <alignment horizontal="right"/>
    </xf>
    <xf numFmtId="228" fontId="1" fillId="3" borderId="5" xfId="3" applyNumberFormat="1" applyFont="1" applyFill="1" applyBorder="1" applyAlignment="1">
      <alignment horizontal="right"/>
    </xf>
    <xf numFmtId="228" fontId="1" fillId="3" borderId="0" xfId="3" applyNumberFormat="1" applyFont="1" applyFill="1" applyAlignment="1">
      <alignment horizontal="right"/>
    </xf>
    <xf numFmtId="375" fontId="1" fillId="3" borderId="7" xfId="0" applyNumberFormat="1" applyFont="1" applyFill="1" applyBorder="1" applyAlignment="1">
      <alignment horizontal="left" indent="1"/>
    </xf>
    <xf numFmtId="231" fontId="1" fillId="3" borderId="5" xfId="0" applyNumberFormat="1" applyFont="1" applyFill="1" applyBorder="1" applyAlignment="1">
      <alignment horizontal="right"/>
    </xf>
    <xf numFmtId="231" fontId="1" fillId="3" borderId="0" xfId="0" applyNumberFormat="1" applyFont="1" applyFill="1" applyAlignment="1">
      <alignment horizontal="right"/>
    </xf>
    <xf numFmtId="371" fontId="1" fillId="3" borderId="5" xfId="0" applyNumberFormat="1" applyFont="1" applyFill="1" applyBorder="1" applyAlignment="1">
      <alignment horizontal="right"/>
    </xf>
    <xf numFmtId="371" fontId="1" fillId="3" borderId="0" xfId="0" applyNumberFormat="1" applyFont="1" applyFill="1" applyAlignment="1">
      <alignment horizontal="right"/>
    </xf>
    <xf numFmtId="228" fontId="3" fillId="3" borderId="0" xfId="3" applyNumberFormat="1" applyFont="1" applyFill="1" applyAlignment="1">
      <alignment horizontal="right"/>
    </xf>
    <xf numFmtId="0" fontId="1" fillId="3" borderId="7" xfId="0" applyFont="1" applyFill="1" applyBorder="1" applyAlignment="1">
      <alignment horizontal="left" indent="1"/>
    </xf>
    <xf numFmtId="0" fontId="2" fillId="3" borderId="7" xfId="0" applyFont="1" applyFill="1" applyBorder="1"/>
    <xf numFmtId="231" fontId="2" fillId="3" borderId="5" xfId="0" applyNumberFormat="1" applyFont="1" applyFill="1" applyBorder="1" applyAlignment="1">
      <alignment horizontal="right"/>
    </xf>
    <xf numFmtId="231" fontId="2" fillId="3" borderId="0" xfId="0" applyNumberFormat="1" applyFont="1" applyFill="1" applyAlignment="1">
      <alignment horizontal="right"/>
    </xf>
    <xf numFmtId="227" fontId="3" fillId="3" borderId="0" xfId="0" applyNumberFormat="1" applyFont="1" applyFill="1" applyAlignment="1">
      <alignment horizontal="right"/>
    </xf>
    <xf numFmtId="227" fontId="3" fillId="3" borderId="5" xfId="0" applyNumberFormat="1" applyFont="1" applyFill="1" applyBorder="1" applyAlignment="1">
      <alignment horizontal="right"/>
    </xf>
    <xf numFmtId="227" fontId="8" fillId="3" borderId="0" xfId="0" applyNumberFormat="1" applyFont="1" applyFill="1" applyAlignment="1">
      <alignment horizontal="right"/>
    </xf>
    <xf numFmtId="208" fontId="3" fillId="3" borderId="0" xfId="0" applyNumberFormat="1" applyFont="1" applyFill="1" applyAlignment="1">
      <alignment horizontal="right"/>
    </xf>
    <xf numFmtId="231" fontId="2" fillId="3" borderId="7" xfId="0" applyNumberFormat="1" applyFont="1" applyFill="1" applyBorder="1"/>
    <xf numFmtId="231" fontId="9" fillId="3" borderId="0" xfId="0" applyNumberFormat="1" applyFont="1" applyFill="1" applyAlignment="1">
      <alignment horizontal="right"/>
    </xf>
    <xf numFmtId="0" fontId="8" fillId="3" borderId="0" xfId="0" applyFont="1" applyFill="1" applyAlignment="1">
      <alignment horizontal="right"/>
    </xf>
    <xf numFmtId="231" fontId="6" fillId="3" borderId="0" xfId="0" applyNumberFormat="1" applyFont="1" applyFill="1" applyAlignment="1">
      <alignment horizontal="right"/>
    </xf>
    <xf numFmtId="231" fontId="6" fillId="3" borderId="5" xfId="0" applyNumberFormat="1" applyFont="1" applyFill="1" applyBorder="1" applyAlignment="1">
      <alignment horizontal="right"/>
    </xf>
    <xf numFmtId="228" fontId="11" fillId="3" borderId="0" xfId="3" applyNumberFormat="1" applyFont="1" applyFill="1" applyAlignment="1">
      <alignment horizontal="right"/>
    </xf>
    <xf numFmtId="371" fontId="11" fillId="3" borderId="0" xfId="0" applyNumberFormat="1" applyFont="1" applyFill="1" applyAlignment="1">
      <alignment horizontal="right"/>
    </xf>
    <xf numFmtId="231" fontId="3" fillId="3" borderId="7" xfId="0" applyNumberFormat="1" applyFont="1" applyFill="1" applyBorder="1" applyAlignment="1">
      <alignment horizontal="left"/>
    </xf>
    <xf numFmtId="0" fontId="13" fillId="3" borderId="7" xfId="0" applyFont="1" applyFill="1" applyBorder="1" applyAlignment="1">
      <alignment horizontal="left" indent="1"/>
    </xf>
    <xf numFmtId="0" fontId="3" fillId="3" borderId="18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2" borderId="16" xfId="0" applyFont="1" applyFill="1" applyBorder="1" applyAlignment="1">
      <alignment horizontal="right"/>
    </xf>
    <xf numFmtId="228" fontId="3" fillId="4" borderId="6" xfId="3" applyNumberFormat="1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2" fillId="0" borderId="18" xfId="0" applyFont="1" applyBorder="1" applyAlignment="1">
      <alignment horizontal="right"/>
    </xf>
    <xf numFmtId="228" fontId="2" fillId="0" borderId="0" xfId="0" applyNumberFormat="1" applyFont="1" applyAlignment="1">
      <alignment horizontal="right"/>
    </xf>
    <xf numFmtId="228" fontId="2" fillId="0" borderId="0" xfId="3" applyNumberFormat="1" applyFont="1" applyAlignment="1">
      <alignment horizontal="right"/>
    </xf>
    <xf numFmtId="231" fontId="3" fillId="0" borderId="7" xfId="0" applyNumberFormat="1" applyFont="1" applyFill="1" applyBorder="1" applyAlignment="1">
      <alignment horizontal="left" indent="1"/>
    </xf>
    <xf numFmtId="0" fontId="1" fillId="0" borderId="7" xfId="0" applyFont="1" applyFill="1" applyBorder="1" applyAlignment="1">
      <alignment horizontal="left" indent="1"/>
    </xf>
    <xf numFmtId="228" fontId="3" fillId="0" borderId="5" xfId="0" applyNumberFormat="1" applyFont="1" applyFill="1" applyBorder="1" applyAlignment="1">
      <alignment horizontal="right"/>
    </xf>
    <xf numFmtId="228" fontId="3" fillId="0" borderId="0" xfId="0" applyNumberFormat="1" applyFont="1" applyFill="1" applyAlignment="1">
      <alignment horizontal="right"/>
    </xf>
    <xf numFmtId="228" fontId="1" fillId="0" borderId="0" xfId="3" applyNumberFormat="1" applyFont="1" applyFill="1" applyBorder="1" applyAlignment="1">
      <alignment horizontal="right"/>
    </xf>
    <xf numFmtId="227" fontId="1" fillId="0" borderId="0" xfId="3" applyNumberFormat="1" applyFont="1" applyFill="1" applyAlignment="1">
      <alignment horizontal="right"/>
    </xf>
    <xf numFmtId="227" fontId="3" fillId="0" borderId="0" xfId="0" applyNumberFormat="1" applyFont="1" applyFill="1" applyAlignment="1">
      <alignment horizontal="right"/>
    </xf>
    <xf numFmtId="228" fontId="11" fillId="0" borderId="0" xfId="3" applyNumberFormat="1" applyFont="1" applyAlignment="1">
      <alignment horizontal="right"/>
    </xf>
    <xf numFmtId="231" fontId="2" fillId="0" borderId="7" xfId="0" applyNumberFormat="1" applyFont="1" applyFill="1" applyBorder="1"/>
    <xf numFmtId="231" fontId="2" fillId="0" borderId="18" xfId="0" applyNumberFormat="1" applyFont="1" applyFill="1" applyBorder="1" applyAlignment="1">
      <alignment horizontal="right"/>
    </xf>
    <xf numFmtId="0" fontId="2" fillId="0" borderId="18" xfId="0" applyFont="1" applyFill="1" applyBorder="1" applyAlignment="1">
      <alignment horizontal="right"/>
    </xf>
    <xf numFmtId="228" fontId="1" fillId="0" borderId="5" xfId="0" applyNumberFormat="1" applyFont="1" applyFill="1" applyBorder="1" applyAlignment="1">
      <alignment horizontal="right"/>
    </xf>
    <xf numFmtId="228" fontId="9" fillId="0" borderId="0" xfId="0" applyNumberFormat="1" applyFont="1" applyAlignment="1">
      <alignment horizontal="right"/>
    </xf>
    <xf numFmtId="1" fontId="3" fillId="0" borderId="5" xfId="0" applyNumberFormat="1" applyFont="1" applyFill="1" applyBorder="1" applyAlignment="1">
      <alignment horizontal="right"/>
    </xf>
    <xf numFmtId="228" fontId="8" fillId="0" borderId="0" xfId="0" applyNumberFormat="1" applyFont="1" applyFill="1" applyAlignment="1">
      <alignment horizontal="right"/>
    </xf>
    <xf numFmtId="228" fontId="8" fillId="0" borderId="5" xfId="0" applyNumberFormat="1" applyFont="1" applyFill="1" applyBorder="1" applyAlignment="1">
      <alignment horizontal="right"/>
    </xf>
    <xf numFmtId="228" fontId="2" fillId="0" borderId="0" xfId="0" applyNumberFormat="1" applyFont="1" applyFill="1" applyAlignment="1">
      <alignment horizontal="right"/>
    </xf>
    <xf numFmtId="228" fontId="2" fillId="0" borderId="5" xfId="0" applyNumberFormat="1" applyFont="1" applyFill="1" applyBorder="1" applyAlignment="1">
      <alignment horizontal="right"/>
    </xf>
    <xf numFmtId="228" fontId="9" fillId="0" borderId="0" xfId="0" applyNumberFormat="1" applyFont="1" applyFill="1" applyAlignment="1">
      <alignment horizontal="right"/>
    </xf>
    <xf numFmtId="228" fontId="9" fillId="0" borderId="5" xfId="0" applyNumberFormat="1" applyFont="1" applyFill="1" applyBorder="1" applyAlignment="1">
      <alignment horizontal="right"/>
    </xf>
    <xf numFmtId="228" fontId="17" fillId="0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228" fontId="1" fillId="0" borderId="7" xfId="3" applyNumberFormat="1" applyFont="1" applyFill="1" applyBorder="1"/>
    <xf numFmtId="228" fontId="1" fillId="0" borderId="18" xfId="3" applyNumberFormat="1" applyFont="1" applyFill="1" applyBorder="1" applyAlignment="1">
      <alignment horizontal="right"/>
    </xf>
    <xf numFmtId="228" fontId="13" fillId="0" borderId="0" xfId="3" applyNumberFormat="1" applyFont="1" applyFill="1" applyAlignment="1">
      <alignment horizontal="right"/>
    </xf>
    <xf numFmtId="0" fontId="18" fillId="0" borderId="7" xfId="0" applyFont="1" applyBorder="1"/>
    <xf numFmtId="3" fontId="3" fillId="0" borderId="0" xfId="0" applyNumberFormat="1" applyFont="1" applyFill="1" applyAlignment="1">
      <alignment horizontal="right"/>
    </xf>
    <xf numFmtId="3" fontId="8" fillId="0" borderId="0" xfId="0" applyNumberFormat="1" applyFont="1" applyFill="1" applyAlignment="1">
      <alignment horizontal="right"/>
    </xf>
    <xf numFmtId="0" fontId="16" fillId="0" borderId="0" xfId="0" applyFont="1" applyFill="1" applyAlignment="1">
      <alignment horizontal="right"/>
    </xf>
    <xf numFmtId="0" fontId="7" fillId="0" borderId="18" xfId="0" applyFont="1" applyFill="1" applyBorder="1" applyAlignment="1">
      <alignment horizontal="right"/>
    </xf>
    <xf numFmtId="0" fontId="7" fillId="0" borderId="0" xfId="0" applyFont="1" applyFill="1" applyAlignment="1">
      <alignment horizontal="right"/>
    </xf>
    <xf numFmtId="0" fontId="7" fillId="0" borderId="5" xfId="0" applyFont="1" applyFill="1" applyBorder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5" xfId="0" applyFont="1" applyFill="1" applyBorder="1" applyAlignment="1">
      <alignment horizontal="right"/>
    </xf>
    <xf numFmtId="0" fontId="2" fillId="0" borderId="14" xfId="0" applyFont="1" applyBorder="1"/>
    <xf numFmtId="0" fontId="2" fillId="0" borderId="17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" fontId="2" fillId="0" borderId="4" xfId="0" applyNumberFormat="1" applyFont="1" applyBorder="1" applyAlignment="1">
      <alignment horizontal="right"/>
    </xf>
    <xf numFmtId="1" fontId="2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371" fontId="1" fillId="0" borderId="5" xfId="0" applyNumberFormat="1" applyFont="1" applyFill="1" applyBorder="1" applyAlignment="1">
      <alignment horizontal="right"/>
    </xf>
    <xf numFmtId="371" fontId="1" fillId="0" borderId="0" xfId="0" applyNumberFormat="1" applyFont="1" applyFill="1" applyAlignment="1">
      <alignment horizontal="right"/>
    </xf>
    <xf numFmtId="371" fontId="11" fillId="0" borderId="18" xfId="0" applyNumberFormat="1" applyFont="1" applyFill="1" applyBorder="1" applyAlignment="1">
      <alignment horizontal="right"/>
    </xf>
    <xf numFmtId="371" fontId="13" fillId="0" borderId="0" xfId="0" applyNumberFormat="1" applyFont="1" applyFill="1" applyAlignment="1">
      <alignment horizontal="right"/>
    </xf>
    <xf numFmtId="371" fontId="1" fillId="0" borderId="18" xfId="0" applyNumberFormat="1" applyFont="1" applyFill="1" applyBorder="1" applyAlignment="1">
      <alignment horizontal="right"/>
    </xf>
    <xf numFmtId="371" fontId="15" fillId="0" borderId="0" xfId="0" applyNumberFormat="1" applyFont="1" applyFill="1" applyAlignment="1">
      <alignment horizontal="right"/>
    </xf>
    <xf numFmtId="227" fontId="2" fillId="0" borderId="0" xfId="0" applyNumberFormat="1" applyFont="1" applyAlignment="1">
      <alignment horizontal="right"/>
    </xf>
    <xf numFmtId="227" fontId="2" fillId="0" borderId="5" xfId="0" applyNumberFormat="1" applyFont="1" applyBorder="1" applyAlignment="1">
      <alignment horizontal="right"/>
    </xf>
    <xf numFmtId="231" fontId="2" fillId="0" borderId="18" xfId="0" applyNumberFormat="1" applyFont="1" applyBorder="1" applyAlignment="1">
      <alignment horizontal="right"/>
    </xf>
    <xf numFmtId="371" fontId="13" fillId="0" borderId="0" xfId="0" applyNumberFormat="1" applyFont="1" applyAlignment="1">
      <alignment horizontal="right"/>
    </xf>
    <xf numFmtId="2" fontId="1" fillId="0" borderId="5" xfId="3" applyNumberFormat="1" applyFont="1" applyFill="1" applyBorder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5" xfId="0" applyNumberFormat="1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228" fontId="3" fillId="0" borderId="0" xfId="3" applyNumberFormat="1" applyFont="1" applyFill="1" applyBorder="1" applyAlignment="1">
      <alignment horizontal="right"/>
    </xf>
    <xf numFmtId="231" fontId="7" fillId="0" borderId="5" xfId="0" applyNumberFormat="1" applyFont="1" applyBorder="1" applyAlignment="1">
      <alignment horizontal="right"/>
    </xf>
    <xf numFmtId="231" fontId="7" fillId="0" borderId="0" xfId="0" applyNumberFormat="1" applyFont="1" applyAlignment="1">
      <alignment horizontal="right"/>
    </xf>
    <xf numFmtId="231" fontId="1" fillId="0" borderId="5" xfId="3" applyNumberFormat="1" applyFont="1" applyFill="1" applyBorder="1" applyAlignment="1">
      <alignment horizontal="right"/>
    </xf>
    <xf numFmtId="231" fontId="1" fillId="0" borderId="0" xfId="3" applyNumberFormat="1" applyFont="1" applyFill="1" applyAlignment="1">
      <alignment horizontal="right"/>
    </xf>
    <xf numFmtId="231" fontId="3" fillId="0" borderId="0" xfId="3" applyNumberFormat="1" applyFont="1" applyFill="1" applyAlignment="1">
      <alignment horizontal="right"/>
    </xf>
    <xf numFmtId="1" fontId="3" fillId="0" borderId="0" xfId="0" applyNumberFormat="1" applyFont="1" applyAlignment="1">
      <alignment horizontal="right"/>
    </xf>
    <xf numFmtId="1" fontId="3" fillId="0" borderId="5" xfId="0" applyNumberFormat="1" applyFont="1" applyBorder="1" applyAlignment="1">
      <alignment horizontal="right"/>
    </xf>
    <xf numFmtId="228" fontId="8" fillId="0" borderId="0" xfId="0" applyNumberFormat="1" applyFont="1" applyFill="1"/>
    <xf numFmtId="228" fontId="1" fillId="0" borderId="7" xfId="3" applyNumberFormat="1" applyFont="1" applyBorder="1"/>
    <xf numFmtId="0" fontId="9" fillId="0" borderId="0" xfId="0" applyFont="1" applyFill="1" applyAlignment="1">
      <alignment horizontal="right"/>
    </xf>
    <xf numFmtId="3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18" xfId="0" applyFont="1" applyBorder="1" applyAlignment="1">
      <alignment horizontal="right"/>
    </xf>
    <xf numFmtId="1" fontId="7" fillId="0" borderId="0" xfId="0" applyNumberFormat="1" applyFont="1" applyAlignment="1">
      <alignment horizontal="right"/>
    </xf>
    <xf numFmtId="1" fontId="7" fillId="0" borderId="5" xfId="0" applyNumberFormat="1" applyFont="1" applyBorder="1" applyAlignment="1">
      <alignment horizontal="right"/>
    </xf>
    <xf numFmtId="0" fontId="11" fillId="0" borderId="0" xfId="0" applyFont="1" applyFill="1" applyAlignment="1">
      <alignment horizontal="right"/>
    </xf>
    <xf numFmtId="1" fontId="9" fillId="0" borderId="0" xfId="0" applyNumberFormat="1" applyFont="1" applyFill="1" applyAlignment="1">
      <alignment horizontal="right"/>
    </xf>
    <xf numFmtId="227" fontId="2" fillId="0" borderId="5" xfId="0" applyNumberFormat="1" applyFont="1" applyFill="1" applyBorder="1" applyAlignment="1">
      <alignment horizontal="right"/>
    </xf>
    <xf numFmtId="371" fontId="15" fillId="0" borderId="0" xfId="0" applyNumberFormat="1" applyFont="1" applyAlignment="1">
      <alignment horizontal="right"/>
    </xf>
    <xf numFmtId="228" fontId="1" fillId="0" borderId="18" xfId="0" applyNumberFormat="1" applyFont="1" applyFill="1" applyBorder="1" applyAlignment="1">
      <alignment horizontal="right"/>
    </xf>
    <xf numFmtId="228" fontId="15" fillId="0" borderId="0" xfId="3" applyNumberFormat="1" applyFont="1" applyAlignment="1">
      <alignment horizontal="right"/>
    </xf>
    <xf numFmtId="1" fontId="17" fillId="0" borderId="0" xfId="0" applyNumberFormat="1" applyFont="1" applyFill="1" applyAlignment="1">
      <alignment horizontal="right"/>
    </xf>
    <xf numFmtId="1" fontId="17" fillId="0" borderId="0" xfId="0" applyNumberFormat="1" applyFont="1" applyAlignment="1">
      <alignment horizontal="right"/>
    </xf>
    <xf numFmtId="1" fontId="1" fillId="0" borderId="0" xfId="0" applyNumberFormat="1" applyFont="1" applyFill="1" applyAlignment="1">
      <alignment horizontal="right"/>
    </xf>
    <xf numFmtId="1" fontId="1" fillId="0" borderId="5" xfId="0" applyNumberFormat="1" applyFont="1" applyFill="1" applyBorder="1" applyAlignment="1">
      <alignment horizontal="right"/>
    </xf>
    <xf numFmtId="374" fontId="2" fillId="0" borderId="4" xfId="0" applyNumberFormat="1" applyFont="1" applyBorder="1" applyAlignment="1">
      <alignment horizontal="right"/>
    </xf>
    <xf numFmtId="374" fontId="2" fillId="0" borderId="3" xfId="0" applyNumberFormat="1" applyFont="1" applyBorder="1" applyAlignment="1">
      <alignment horizontal="right"/>
    </xf>
    <xf numFmtId="227" fontId="2" fillId="0" borderId="0" xfId="0" applyNumberFormat="1" applyFont="1" applyFill="1" applyAlignment="1">
      <alignment horizontal="right"/>
    </xf>
    <xf numFmtId="231" fontId="3" fillId="0" borderId="18" xfId="0" applyNumberFormat="1" applyFont="1" applyFill="1" applyBorder="1" applyAlignment="1">
      <alignment horizontal="right"/>
    </xf>
    <xf numFmtId="228" fontId="1" fillId="0" borderId="7" xfId="3" applyNumberFormat="1" applyFont="1" applyFill="1" applyBorder="1" applyAlignment="1">
      <alignment horizontal="left" indent="2"/>
    </xf>
    <xf numFmtId="371" fontId="11" fillId="0" borderId="5" xfId="0" applyNumberFormat="1" applyFont="1" applyFill="1" applyBorder="1" applyAlignment="1">
      <alignment horizontal="right"/>
    </xf>
    <xf numFmtId="371" fontId="8" fillId="0" borderId="0" xfId="0" applyNumberFormat="1" applyFont="1" applyFill="1" applyAlignment="1">
      <alignment horizontal="right"/>
    </xf>
    <xf numFmtId="227" fontId="3" fillId="0" borderId="5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228" fontId="3" fillId="3" borderId="0" xfId="3" applyNumberFormat="1" applyFont="1" applyFill="1" applyBorder="1" applyAlignment="1">
      <alignment horizontal="right"/>
    </xf>
    <xf numFmtId="227" fontId="2" fillId="3" borderId="7" xfId="0" applyNumberFormat="1" applyFont="1" applyFill="1" applyBorder="1"/>
    <xf numFmtId="228" fontId="7" fillId="3" borderId="5" xfId="0" applyNumberFormat="1" applyFont="1" applyFill="1" applyBorder="1" applyAlignment="1">
      <alignment horizontal="right"/>
    </xf>
    <xf numFmtId="228" fontId="7" fillId="3" borderId="0" xfId="0" applyNumberFormat="1" applyFont="1" applyFill="1" applyAlignment="1">
      <alignment horizontal="right"/>
    </xf>
    <xf numFmtId="227" fontId="2" fillId="3" borderId="0" xfId="0" applyNumberFormat="1" applyFont="1" applyFill="1" applyAlignment="1">
      <alignment horizontal="right"/>
    </xf>
    <xf numFmtId="9" fontId="3" fillId="3" borderId="0" xfId="3" applyFont="1" applyFill="1" applyAlignment="1">
      <alignment horizontal="right"/>
    </xf>
    <xf numFmtId="0" fontId="7" fillId="3" borderId="7" xfId="0" applyFont="1" applyFill="1" applyBorder="1"/>
    <xf numFmtId="228" fontId="7" fillId="3" borderId="5" xfId="3" applyNumberFormat="1" applyFont="1" applyFill="1" applyBorder="1" applyAlignment="1">
      <alignment horizontal="right"/>
    </xf>
    <xf numFmtId="228" fontId="12" fillId="3" borderId="0" xfId="3" applyNumberFormat="1" applyFont="1" applyFill="1" applyAlignment="1">
      <alignment horizontal="right"/>
    </xf>
    <xf numFmtId="228" fontId="12" fillId="3" borderId="5" xfId="3" applyNumberFormat="1" applyFont="1" applyFill="1" applyBorder="1" applyAlignment="1">
      <alignment horizontal="right"/>
    </xf>
    <xf numFmtId="228" fontId="14" fillId="3" borderId="0" xfId="3" applyNumberFormat="1" applyFont="1" applyFill="1" applyAlignment="1">
      <alignment horizontal="right"/>
    </xf>
    <xf numFmtId="9" fontId="14" fillId="3" borderId="0" xfId="3" applyFont="1" applyFill="1" applyAlignment="1">
      <alignment horizontal="right"/>
    </xf>
    <xf numFmtId="228" fontId="19" fillId="3" borderId="0" xfId="3" applyNumberFormat="1" applyFont="1" applyFill="1" applyAlignment="1">
      <alignment horizontal="right"/>
    </xf>
    <xf numFmtId="228" fontId="11" fillId="3" borderId="5" xfId="3" applyNumberFormat="1" applyFont="1" applyFill="1" applyBorder="1" applyAlignment="1">
      <alignment horizontal="right"/>
    </xf>
    <xf numFmtId="228" fontId="13" fillId="3" borderId="0" xfId="3" applyNumberFormat="1" applyFont="1" applyFill="1" applyAlignment="1">
      <alignment horizontal="right"/>
    </xf>
    <xf numFmtId="228" fontId="15" fillId="3" borderId="0" xfId="3" applyNumberFormat="1" applyFont="1" applyFill="1" applyAlignment="1">
      <alignment horizontal="right"/>
    </xf>
    <xf numFmtId="228" fontId="7" fillId="3" borderId="0" xfId="3" applyNumberFormat="1" applyFont="1" applyFill="1" applyAlignment="1">
      <alignment horizontal="right"/>
    </xf>
    <xf numFmtId="228" fontId="12" fillId="3" borderId="0" xfId="0" applyNumberFormat="1" applyFont="1" applyFill="1" applyAlignment="1">
      <alignment horizontal="right"/>
    </xf>
    <xf numFmtId="228" fontId="12" fillId="3" borderId="18" xfId="3" applyNumberFormat="1" applyFont="1" applyFill="1" applyBorder="1" applyAlignment="1">
      <alignment horizontal="right"/>
    </xf>
    <xf numFmtId="227" fontId="2" fillId="3" borderId="5" xfId="0" applyNumberFormat="1" applyFont="1" applyFill="1" applyBorder="1" applyAlignment="1">
      <alignment horizontal="right"/>
    </xf>
    <xf numFmtId="228" fontId="2" fillId="3" borderId="0" xfId="3" applyNumberFormat="1" applyFont="1" applyFill="1" applyAlignment="1">
      <alignment horizontal="right"/>
    </xf>
    <xf numFmtId="9" fontId="2" fillId="3" borderId="0" xfId="3" applyFont="1" applyFill="1" applyAlignment="1">
      <alignment horizontal="right"/>
    </xf>
    <xf numFmtId="0" fontId="2" fillId="3" borderId="3" xfId="0" applyFont="1" applyFill="1" applyBorder="1"/>
    <xf numFmtId="1" fontId="3" fillId="3" borderId="0" xfId="0" applyNumberFormat="1" applyFont="1" applyFill="1" applyAlignment="1">
      <alignment horizontal="right"/>
    </xf>
    <xf numFmtId="9" fontId="3" fillId="3" borderId="0" xfId="0" applyNumberFormat="1" applyFont="1" applyFill="1" applyAlignment="1">
      <alignment horizontal="right"/>
    </xf>
    <xf numFmtId="227" fontId="10" fillId="3" borderId="0" xfId="0" applyNumberFormat="1" applyFont="1" applyFill="1" applyAlignment="1">
      <alignment horizontal="right"/>
    </xf>
    <xf numFmtId="227" fontId="10" fillId="3" borderId="5" xfId="0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3" fillId="3" borderId="0" xfId="0" applyFont="1" applyFill="1"/>
    <xf numFmtId="1" fontId="3" fillId="3" borderId="5" xfId="0" applyNumberFormat="1" applyFont="1" applyFill="1" applyBorder="1" applyAlignment="1">
      <alignment horizontal="right"/>
    </xf>
    <xf numFmtId="1" fontId="2" fillId="3" borderId="5" xfId="0" applyNumberFormat="1" applyFont="1" applyFill="1" applyBorder="1" applyAlignment="1">
      <alignment horizontal="right"/>
    </xf>
    <xf numFmtId="1" fontId="2" fillId="3" borderId="0" xfId="0" applyNumberFormat="1" applyFont="1" applyFill="1" applyAlignment="1">
      <alignment horizontal="right"/>
    </xf>
    <xf numFmtId="1" fontId="9" fillId="3" borderId="0" xfId="0" applyNumberFormat="1" applyFont="1" applyFill="1" applyAlignment="1">
      <alignment horizontal="right"/>
    </xf>
    <xf numFmtId="1" fontId="8" fillId="3" borderId="5" xfId="0" applyNumberFormat="1" applyFont="1" applyFill="1" applyBorder="1" applyAlignment="1">
      <alignment horizontal="right"/>
    </xf>
    <xf numFmtId="0" fontId="6" fillId="3" borderId="7" xfId="0" applyFont="1" applyFill="1" applyBorder="1"/>
    <xf numFmtId="0" fontId="1" fillId="3" borderId="5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9" fontId="1" fillId="3" borderId="0" xfId="3" applyFont="1" applyFill="1" applyAlignment="1">
      <alignment horizontal="right"/>
    </xf>
    <xf numFmtId="9" fontId="1" fillId="3" borderId="5" xfId="3" applyFont="1" applyFill="1" applyBorder="1" applyAlignment="1">
      <alignment horizontal="right"/>
    </xf>
    <xf numFmtId="228" fontId="6" fillId="3" borderId="0" xfId="0" applyNumberFormat="1" applyFont="1" applyFill="1" applyAlignment="1">
      <alignment horizontal="right"/>
    </xf>
    <xf numFmtId="9" fontId="15" fillId="3" borderId="0" xfId="3" applyFont="1" applyFill="1" applyAlignment="1">
      <alignment horizontal="right"/>
    </xf>
    <xf numFmtId="9" fontId="11" fillId="3" borderId="0" xfId="3" applyFont="1" applyFill="1" applyAlignment="1">
      <alignment horizontal="right"/>
    </xf>
    <xf numFmtId="9" fontId="11" fillId="3" borderId="5" xfId="3" applyFont="1" applyFill="1" applyBorder="1" applyAlignment="1">
      <alignment horizontal="right"/>
    </xf>
    <xf numFmtId="2" fontId="3" fillId="3" borderId="0" xfId="3" applyNumberFormat="1" applyFont="1" applyFill="1" applyAlignment="1">
      <alignment horizontal="right"/>
    </xf>
    <xf numFmtId="228" fontId="3" fillId="3" borderId="5" xfId="3" applyNumberFormat="1" applyFont="1" applyFill="1" applyBorder="1" applyAlignment="1">
      <alignment horizontal="right"/>
    </xf>
    <xf numFmtId="0" fontId="18" fillId="3" borderId="7" xfId="0" applyFont="1" applyFill="1" applyBorder="1"/>
    <xf numFmtId="231" fontId="2" fillId="3" borderId="7" xfId="0" applyNumberFormat="1" applyFont="1" applyFill="1" applyBorder="1" applyAlignment="1">
      <alignment horizontal="left"/>
    </xf>
    <xf numFmtId="0" fontId="2" fillId="3" borderId="5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2" fillId="3" borderId="5" xfId="0" applyNumberFormat="1" applyFont="1" applyFill="1" applyBorder="1" applyAlignment="1">
      <alignment horizontal="right"/>
    </xf>
    <xf numFmtId="3" fontId="9" fillId="3" borderId="0" xfId="0" applyNumberFormat="1" applyFont="1" applyFill="1" applyAlignment="1">
      <alignment horizontal="right"/>
    </xf>
    <xf numFmtId="231" fontId="1" fillId="3" borderId="7" xfId="0" applyNumberFormat="1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3" fontId="3" fillId="3" borderId="0" xfId="0" applyNumberFormat="1" applyFont="1" applyFill="1" applyAlignment="1">
      <alignment horizontal="right"/>
    </xf>
    <xf numFmtId="231" fontId="3" fillId="3" borderId="7" xfId="0" applyNumberFormat="1" applyFont="1" applyFill="1" applyBorder="1" applyAlignment="1">
      <alignment horizontal="left" indent="1"/>
    </xf>
    <xf numFmtId="3" fontId="8" fillId="3" borderId="0" xfId="0" applyNumberFormat="1" applyFont="1" applyFill="1" applyAlignment="1">
      <alignment horizontal="right"/>
    </xf>
    <xf numFmtId="228" fontId="8" fillId="3" borderId="0" xfId="0" applyNumberFormat="1" applyFont="1" applyFill="1" applyAlignment="1">
      <alignment horizontal="right"/>
    </xf>
    <xf numFmtId="3" fontId="6" fillId="3" borderId="0" xfId="0" applyNumberFormat="1" applyFont="1" applyFill="1" applyAlignment="1">
      <alignment horizontal="right"/>
    </xf>
    <xf numFmtId="0" fontId="6" fillId="3" borderId="0" xfId="0" applyFont="1" applyFill="1" applyAlignment="1">
      <alignment horizontal="right"/>
    </xf>
    <xf numFmtId="2" fontId="3" fillId="3" borderId="0" xfId="0" applyNumberFormat="1" applyFont="1" applyFill="1" applyAlignment="1">
      <alignment horizontal="right"/>
    </xf>
    <xf numFmtId="207" fontId="3" fillId="3" borderId="0" xfId="0" applyNumberFormat="1" applyFont="1" applyFill="1" applyAlignment="1">
      <alignment horizontal="right"/>
    </xf>
    <xf numFmtId="2" fontId="17" fillId="3" borderId="0" xfId="0" applyNumberFormat="1" applyFont="1" applyFill="1" applyAlignment="1">
      <alignment horizontal="right"/>
    </xf>
    <xf numFmtId="2" fontId="20" fillId="3" borderId="5" xfId="0" applyNumberFormat="1" applyFont="1" applyFill="1" applyBorder="1" applyAlignment="1">
      <alignment horizontal="right"/>
    </xf>
    <xf numFmtId="208" fontId="2" fillId="3" borderId="5" xfId="0" applyNumberFormat="1" applyFont="1" applyFill="1" applyBorder="1" applyAlignment="1">
      <alignment horizontal="right"/>
    </xf>
    <xf numFmtId="208" fontId="2" fillId="3" borderId="0" xfId="0" applyNumberFormat="1" applyFont="1" applyFill="1" applyAlignment="1">
      <alignment horizontal="right"/>
    </xf>
    <xf numFmtId="208" fontId="9" fillId="3" borderId="0" xfId="0" applyNumberFormat="1" applyFont="1" applyFill="1" applyAlignment="1">
      <alignment horizontal="right"/>
    </xf>
    <xf numFmtId="208" fontId="9" fillId="3" borderId="5" xfId="0" applyNumberFormat="1" applyFont="1" applyFill="1" applyBorder="1" applyAlignment="1">
      <alignment horizontal="right"/>
    </xf>
    <xf numFmtId="208" fontId="3" fillId="3" borderId="5" xfId="0" applyNumberFormat="1" applyFont="1" applyFill="1" applyBorder="1" applyAlignment="1">
      <alignment horizontal="right"/>
    </xf>
    <xf numFmtId="208" fontId="3" fillId="3" borderId="5" xfId="3" applyNumberFormat="1" applyFont="1" applyFill="1" applyBorder="1" applyAlignment="1">
      <alignment horizontal="right"/>
    </xf>
    <xf numFmtId="208" fontId="3" fillId="3" borderId="0" xfId="3" applyNumberFormat="1" applyFont="1" applyFill="1" applyAlignment="1">
      <alignment horizontal="right"/>
    </xf>
    <xf numFmtId="208" fontId="16" fillId="3" borderId="0" xfId="3" applyNumberFormat="1" applyFont="1" applyFill="1" applyAlignment="1">
      <alignment horizontal="right"/>
    </xf>
    <xf numFmtId="208" fontId="8" fillId="3" borderId="0" xfId="3" applyNumberFormat="1" applyFont="1" applyFill="1" applyAlignment="1">
      <alignment horizontal="right"/>
    </xf>
    <xf numFmtId="208" fontId="1" fillId="3" borderId="5" xfId="3" applyNumberFormat="1" applyFont="1" applyFill="1" applyBorder="1" applyAlignment="1">
      <alignment horizontal="right"/>
    </xf>
    <xf numFmtId="208" fontId="6" fillId="3" borderId="0" xfId="3" applyNumberFormat="1" applyFont="1" applyFill="1" applyAlignment="1">
      <alignment horizontal="right"/>
    </xf>
    <xf numFmtId="0" fontId="2" fillId="3" borderId="7" xfId="0" applyFont="1" applyFill="1" applyBorder="1" applyAlignment="1">
      <alignment horizontal="left"/>
    </xf>
    <xf numFmtId="227" fontId="9" fillId="3" borderId="0" xfId="0" applyNumberFormat="1" applyFont="1" applyFill="1" applyAlignment="1">
      <alignment horizontal="right"/>
    </xf>
    <xf numFmtId="371" fontId="15" fillId="3" borderId="0" xfId="0" applyNumberFormat="1" applyFont="1" applyFill="1" applyAlignment="1">
      <alignment horizontal="right"/>
    </xf>
    <xf numFmtId="10" fontId="3" fillId="3" borderId="5" xfId="3" applyNumberFormat="1" applyFont="1" applyFill="1" applyBorder="1" applyAlignment="1">
      <alignment horizontal="right"/>
    </xf>
    <xf numFmtId="10" fontId="3" fillId="4" borderId="6" xfId="0" applyNumberFormat="1" applyFont="1" applyFill="1" applyBorder="1" applyAlignment="1">
      <alignment horizontal="right"/>
    </xf>
    <xf numFmtId="228" fontId="11" fillId="3" borderId="0" xfId="3" applyNumberFormat="1" applyFont="1" applyFill="1" applyBorder="1" applyAlignment="1">
      <alignment horizontal="right"/>
    </xf>
    <xf numFmtId="9" fontId="11" fillId="3" borderId="0" xfId="3" applyFont="1" applyFill="1" applyBorder="1" applyAlignment="1">
      <alignment horizontal="right"/>
    </xf>
    <xf numFmtId="228" fontId="15" fillId="3" borderId="0" xfId="0" applyNumberFormat="1" applyFont="1" applyFill="1" applyAlignment="1">
      <alignment horizontal="right"/>
    </xf>
    <xf numFmtId="228" fontId="8" fillId="3" borderId="5" xfId="0" applyNumberFormat="1" applyFont="1" applyFill="1" applyBorder="1" applyAlignment="1">
      <alignment horizontal="right"/>
    </xf>
    <xf numFmtId="231" fontId="10" fillId="3" borderId="0" xfId="0" applyNumberFormat="1" applyFont="1" applyFill="1" applyAlignment="1">
      <alignment horizontal="right"/>
    </xf>
    <xf numFmtId="231" fontId="10" fillId="3" borderId="5" xfId="0" applyNumberFormat="1" applyFont="1" applyFill="1" applyBorder="1" applyAlignment="1">
      <alignment horizontal="right"/>
    </xf>
    <xf numFmtId="371" fontId="8" fillId="3" borderId="0" xfId="0" applyNumberFormat="1" applyFont="1" applyFill="1" applyAlignment="1">
      <alignment horizontal="right"/>
    </xf>
    <xf numFmtId="371" fontId="16" fillId="3" borderId="0" xfId="0" applyNumberFormat="1" applyFont="1" applyFill="1" applyAlignment="1">
      <alignment horizontal="right"/>
    </xf>
    <xf numFmtId="231" fontId="3" fillId="4" borderId="6" xfId="0" applyNumberFormat="1" applyFont="1" applyFill="1" applyBorder="1" applyAlignment="1">
      <alignment horizontal="right"/>
    </xf>
    <xf numFmtId="208" fontId="3" fillId="4" borderId="6" xfId="0" applyNumberFormat="1" applyFont="1" applyFill="1" applyBorder="1" applyAlignment="1">
      <alignment horizontal="right"/>
    </xf>
    <xf numFmtId="228" fontId="21" fillId="3" borderId="0" xfId="0" applyNumberFormat="1" applyFont="1" applyFill="1" applyAlignment="1">
      <alignment horizontal="right"/>
    </xf>
    <xf numFmtId="2" fontId="1" fillId="3" borderId="5" xfId="3" applyNumberFormat="1" applyFont="1" applyFill="1" applyBorder="1" applyAlignment="1">
      <alignment horizontal="right"/>
    </xf>
    <xf numFmtId="1" fontId="3" fillId="3" borderId="0" xfId="3" applyNumberFormat="1" applyFont="1" applyFill="1" applyAlignment="1">
      <alignment horizontal="right"/>
    </xf>
    <xf numFmtId="1" fontId="3" fillId="3" borderId="5" xfId="3" applyNumberFormat="1" applyFont="1" applyFill="1" applyBorder="1" applyAlignment="1">
      <alignment horizontal="right"/>
    </xf>
    <xf numFmtId="1" fontId="11" fillId="3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right"/>
    </xf>
    <xf numFmtId="228" fontId="11" fillId="3" borderId="18" xfId="0" applyNumberFormat="1" applyFont="1" applyFill="1" applyBorder="1" applyAlignment="1">
      <alignment horizontal="right"/>
    </xf>
    <xf numFmtId="375" fontId="1" fillId="3" borderId="14" xfId="0" applyNumberFormat="1" applyFont="1" applyFill="1" applyBorder="1" applyAlignment="1">
      <alignment horizontal="left" indent="1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371" fontId="1" fillId="3" borderId="4" xfId="0" applyNumberFormat="1" applyFont="1" applyFill="1" applyBorder="1" applyAlignment="1">
      <alignment horizontal="right"/>
    </xf>
    <xf numFmtId="371" fontId="1" fillId="3" borderId="3" xfId="0" applyNumberFormat="1" applyFont="1" applyFill="1" applyBorder="1" applyAlignment="1">
      <alignment horizontal="right"/>
    </xf>
    <xf numFmtId="371" fontId="11" fillId="3" borderId="4" xfId="0" applyNumberFormat="1" applyFont="1" applyFill="1" applyBorder="1" applyAlignment="1">
      <alignment horizontal="right"/>
    </xf>
    <xf numFmtId="371" fontId="15" fillId="3" borderId="4" xfId="0" applyNumberFormat="1" applyFont="1" applyFill="1" applyBorder="1" applyAlignment="1">
      <alignment horizontal="right"/>
    </xf>
    <xf numFmtId="4" fontId="3" fillId="0" borderId="0" xfId="0" applyNumberFormat="1" applyFont="1"/>
    <xf numFmtId="228" fontId="3" fillId="0" borderId="0" xfId="3" applyNumberFormat="1" applyFont="1" applyFill="1"/>
    <xf numFmtId="231" fontId="6" fillId="0" borderId="0" xfId="0" applyNumberFormat="1" applyFont="1"/>
    <xf numFmtId="228" fontId="1" fillId="0" borderId="0" xfId="0" applyNumberFormat="1" applyFont="1"/>
    <xf numFmtId="228" fontId="3" fillId="0" borderId="0" xfId="0" applyNumberFormat="1" applyFont="1"/>
    <xf numFmtId="0" fontId="8" fillId="0" borderId="0" xfId="0" applyFont="1"/>
    <xf numFmtId="1" fontId="3" fillId="0" borderId="0" xfId="0" applyNumberFormat="1" applyFont="1"/>
    <xf numFmtId="228" fontId="2" fillId="0" borderId="0" xfId="3" applyNumberFormat="1" applyFont="1" applyFill="1"/>
    <xf numFmtId="231" fontId="3" fillId="0" borderId="0" xfId="0" applyNumberFormat="1" applyFont="1" applyAlignment="1">
      <alignment horizontal="left"/>
    </xf>
    <xf numFmtId="228" fontId="5" fillId="2" borderId="0" xfId="2370" applyNumberFormat="1" applyFont="1" applyFill="1" applyAlignment="1">
      <alignment horizontal="center"/>
    </xf>
    <xf numFmtId="228" fontId="5" fillId="2" borderId="0" xfId="2370" applyNumberFormat="1" applyFont="1" applyFill="1" applyBorder="1" applyAlignment="1">
      <alignment horizontal="center"/>
    </xf>
    <xf numFmtId="373" fontId="5" fillId="2" borderId="0" xfId="2370" applyNumberFormat="1" applyFont="1" applyFill="1" applyBorder="1" applyAlignment="1">
      <alignment horizontal="center"/>
    </xf>
    <xf numFmtId="4" fontId="5" fillId="2" borderId="0" xfId="2295" applyNumberFormat="1" applyFont="1" applyFill="1" applyAlignment="1">
      <alignment horizontal="center"/>
    </xf>
    <xf numFmtId="4" fontId="5" fillId="2" borderId="4" xfId="2295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1" fontId="3" fillId="0" borderId="13" xfId="0" applyNumberFormat="1" applyFont="1" applyBorder="1" applyAlignment="1">
      <alignment horizontal="left"/>
    </xf>
    <xf numFmtId="376" fontId="2" fillId="0" borderId="1" xfId="2244" applyNumberFormat="1" applyFont="1" applyBorder="1" applyAlignment="1">
      <alignment horizontal="center"/>
    </xf>
    <xf numFmtId="376" fontId="2" fillId="0" borderId="2" xfId="2244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left"/>
    </xf>
    <xf numFmtId="0" fontId="3" fillId="2" borderId="6" xfId="0" applyFont="1" applyFill="1" applyBorder="1"/>
    <xf numFmtId="0" fontId="22" fillId="2" borderId="6" xfId="0" applyFont="1" applyFill="1" applyBorder="1"/>
    <xf numFmtId="0" fontId="22" fillId="2" borderId="19" xfId="0" applyFont="1" applyFill="1" applyBorder="1"/>
    <xf numFmtId="0" fontId="22" fillId="2" borderId="2" xfId="0" applyFont="1" applyFill="1" applyBorder="1"/>
    <xf numFmtId="0" fontId="22" fillId="2" borderId="16" xfId="0" applyFont="1" applyFill="1" applyBorder="1"/>
    <xf numFmtId="0" fontId="3" fillId="4" borderId="16" xfId="0" applyFont="1" applyFill="1" applyBorder="1"/>
    <xf numFmtId="1" fontId="2" fillId="0" borderId="7" xfId="0" applyNumberFormat="1" applyFont="1" applyBorder="1" applyAlignment="1">
      <alignment horizontal="left"/>
    </xf>
    <xf numFmtId="231" fontId="3" fillId="0" borderId="5" xfId="3" applyNumberFormat="1" applyFont="1" applyFill="1" applyBorder="1" applyAlignment="1">
      <alignment horizontal="right"/>
    </xf>
    <xf numFmtId="231" fontId="2" fillId="0" borderId="5" xfId="3" applyNumberFormat="1" applyFont="1" applyFill="1" applyBorder="1" applyAlignment="1">
      <alignment horizontal="right"/>
    </xf>
    <xf numFmtId="231" fontId="2" fillId="0" borderId="0" xfId="3" applyNumberFormat="1" applyFont="1" applyFill="1" applyAlignment="1">
      <alignment horizontal="right"/>
    </xf>
    <xf numFmtId="1" fontId="3" fillId="3" borderId="7" xfId="0" applyNumberFormat="1" applyFont="1" applyFill="1" applyBorder="1" applyAlignment="1">
      <alignment horizontal="left"/>
    </xf>
    <xf numFmtId="228" fontId="3" fillId="0" borderId="0" xfId="3" applyNumberFormat="1" applyFont="1" applyFill="1" applyAlignment="1">
      <alignment horizontal="right"/>
    </xf>
    <xf numFmtId="4" fontId="3" fillId="0" borderId="0" xfId="0" applyNumberFormat="1" applyFont="1" applyAlignment="1">
      <alignment horizontal="right"/>
    </xf>
    <xf numFmtId="377" fontId="3" fillId="0" borderId="0" xfId="0" applyNumberFormat="1" applyFont="1" applyAlignment="1">
      <alignment horizontal="right"/>
    </xf>
    <xf numFmtId="377" fontId="3" fillId="0" borderId="5" xfId="0" applyNumberFormat="1" applyFont="1" applyBorder="1" applyAlignment="1">
      <alignment horizontal="right"/>
    </xf>
    <xf numFmtId="228" fontId="3" fillId="0" borderId="5" xfId="3" applyNumberFormat="1" applyFont="1" applyBorder="1" applyAlignment="1">
      <alignment horizontal="right"/>
    </xf>
    <xf numFmtId="231" fontId="3" fillId="0" borderId="5" xfId="3" applyNumberFormat="1" applyFont="1" applyBorder="1" applyAlignment="1">
      <alignment horizontal="right"/>
    </xf>
    <xf numFmtId="231" fontId="2" fillId="0" borderId="5" xfId="3" applyNumberFormat="1" applyFont="1" applyBorder="1" applyAlignment="1">
      <alignment horizontal="right"/>
    </xf>
    <xf numFmtId="231" fontId="3" fillId="2" borderId="6" xfId="0" applyNumberFormat="1" applyFont="1" applyFill="1" applyBorder="1" applyAlignment="1">
      <alignment horizontal="right"/>
    </xf>
    <xf numFmtId="231" fontId="3" fillId="2" borderId="6" xfId="3" applyNumberFormat="1" applyFont="1" applyFill="1" applyBorder="1" applyAlignment="1">
      <alignment horizontal="right"/>
    </xf>
    <xf numFmtId="228" fontId="5" fillId="2" borderId="6" xfId="3" applyNumberFormat="1" applyFont="1" applyFill="1" applyBorder="1" applyAlignment="1">
      <alignment horizontal="right"/>
    </xf>
    <xf numFmtId="231" fontId="3" fillId="2" borderId="16" xfId="0" applyNumberFormat="1" applyFont="1" applyFill="1" applyBorder="1" applyAlignment="1">
      <alignment horizontal="right"/>
    </xf>
    <xf numFmtId="228" fontId="3" fillId="0" borderId="5" xfId="3" applyNumberFormat="1" applyFont="1" applyFill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2" fontId="3" fillId="0" borderId="5" xfId="3" applyNumberFormat="1" applyFont="1" applyFill="1" applyBorder="1" applyAlignment="1">
      <alignment horizontal="right"/>
    </xf>
    <xf numFmtId="3" fontId="2" fillId="0" borderId="0" xfId="0" applyNumberFormat="1" applyFont="1" applyFill="1" applyAlignment="1">
      <alignment horizontal="right"/>
    </xf>
    <xf numFmtId="228" fontId="7" fillId="0" borderId="5" xfId="0" applyNumberFormat="1" applyFont="1" applyBorder="1"/>
    <xf numFmtId="228" fontId="7" fillId="0" borderId="0" xfId="0" applyNumberFormat="1" applyFont="1"/>
    <xf numFmtId="228" fontId="1" fillId="0" borderId="5" xfId="3" applyNumberFormat="1" applyFont="1" applyFill="1" applyBorder="1"/>
    <xf numFmtId="0" fontId="7" fillId="0" borderId="5" xfId="0" applyFont="1" applyBorder="1"/>
    <xf numFmtId="2" fontId="1" fillId="0" borderId="0" xfId="3" applyNumberFormat="1" applyFont="1" applyFill="1"/>
    <xf numFmtId="2" fontId="1" fillId="0" borderId="5" xfId="3" applyNumberFormat="1" applyFont="1" applyFill="1" applyBorder="1"/>
    <xf numFmtId="2" fontId="3" fillId="0" borderId="0" xfId="3" applyNumberFormat="1" applyFont="1" applyFill="1" applyBorder="1" applyAlignment="1">
      <alignment horizontal="right"/>
    </xf>
    <xf numFmtId="228" fontId="3" fillId="0" borderId="5" xfId="0" applyNumberFormat="1" applyFont="1" applyBorder="1"/>
    <xf numFmtId="375" fontId="1" fillId="0" borderId="7" xfId="0" applyNumberFormat="1" applyFont="1" applyBorder="1" applyAlignment="1">
      <alignment horizontal="left" indent="1"/>
    </xf>
    <xf numFmtId="371" fontId="1" fillId="0" borderId="5" xfId="0" applyNumberFormat="1" applyFont="1" applyBorder="1"/>
    <xf numFmtId="371" fontId="1" fillId="0" borderId="0" xfId="0" applyNumberFormat="1" applyFont="1"/>
    <xf numFmtId="371" fontId="11" fillId="0" borderId="0" xfId="0" applyNumberFormat="1" applyFont="1"/>
    <xf numFmtId="371" fontId="11" fillId="0" borderId="0" xfId="0" applyNumberFormat="1" applyFont="1" applyFill="1"/>
    <xf numFmtId="371" fontId="1" fillId="0" borderId="5" xfId="0" applyNumberFormat="1" applyFont="1" applyFill="1" applyBorder="1"/>
    <xf numFmtId="371" fontId="15" fillId="0" borderId="0" xfId="0" applyNumberFormat="1" applyFont="1" applyFill="1"/>
    <xf numFmtId="10" fontId="1" fillId="0" borderId="0" xfId="3" applyNumberFormat="1" applyFont="1" applyFill="1"/>
    <xf numFmtId="0" fontId="1" fillId="0" borderId="0" xfId="3" applyNumberFormat="1" applyFont="1" applyFill="1"/>
    <xf numFmtId="231" fontId="8" fillId="0" borderId="0" xfId="0" applyNumberFormat="1" applyFont="1" applyFill="1"/>
    <xf numFmtId="371" fontId="1" fillId="0" borderId="0" xfId="0" applyNumberFormat="1" applyFont="1" applyFill="1"/>
    <xf numFmtId="371" fontId="11" fillId="0" borderId="5" xfId="0" applyNumberFormat="1" applyFont="1" applyFill="1" applyBorder="1"/>
    <xf numFmtId="231" fontId="16" fillId="0" borderId="0" xfId="0" applyNumberFormat="1" applyFont="1" applyFill="1" applyAlignment="1">
      <alignment horizontal="right"/>
    </xf>
    <xf numFmtId="374" fontId="1" fillId="0" borderId="0" xfId="3" applyNumberFormat="1" applyFont="1" applyFill="1"/>
    <xf numFmtId="227" fontId="1" fillId="0" borderId="5" xfId="3" applyNumberFormat="1" applyFont="1" applyFill="1" applyBorder="1"/>
    <xf numFmtId="231" fontId="6" fillId="0" borderId="7" xfId="0" applyNumberFormat="1" applyFont="1" applyBorder="1" applyAlignment="1">
      <alignment horizontal="left"/>
    </xf>
    <xf numFmtId="186" fontId="6" fillId="0" borderId="0" xfId="0" applyNumberFormat="1" applyFont="1" applyAlignment="1">
      <alignment horizontal="right"/>
    </xf>
    <xf numFmtId="231" fontId="6" fillId="0" borderId="5" xfId="0" applyNumberFormat="1" applyFont="1" applyFill="1" applyBorder="1" applyAlignment="1">
      <alignment horizontal="right"/>
    </xf>
    <xf numFmtId="231" fontId="1" fillId="0" borderId="0" xfId="0" applyNumberFormat="1" applyFont="1" applyAlignment="1">
      <alignment horizontal="right"/>
    </xf>
    <xf numFmtId="231" fontId="1" fillId="0" borderId="7" xfId="0" applyNumberFormat="1" applyFont="1" applyBorder="1" applyAlignment="1">
      <alignment horizontal="left"/>
    </xf>
    <xf numFmtId="228" fontId="11" fillId="0" borderId="0" xfId="3" applyNumberFormat="1" applyFont="1" applyFill="1" applyBorder="1" applyAlignment="1">
      <alignment horizontal="right"/>
    </xf>
    <xf numFmtId="228" fontId="15" fillId="0" borderId="0" xfId="3" applyNumberFormat="1" applyFont="1" applyFill="1" applyBorder="1" applyAlignment="1">
      <alignment horizontal="right"/>
    </xf>
    <xf numFmtId="186" fontId="2" fillId="0" borderId="0" xfId="0" applyNumberFormat="1" applyFont="1" applyFill="1" applyAlignment="1">
      <alignment horizontal="right"/>
    </xf>
    <xf numFmtId="9" fontId="3" fillId="0" borderId="0" xfId="3" applyFont="1" applyFill="1" applyAlignment="1">
      <alignment horizontal="right"/>
    </xf>
    <xf numFmtId="4" fontId="6" fillId="0" borderId="5" xfId="0" applyNumberFormat="1" applyFont="1" applyBorder="1" applyAlignment="1">
      <alignment horizontal="right"/>
    </xf>
    <xf numFmtId="4" fontId="2" fillId="4" borderId="6" xfId="0" applyNumberFormat="1" applyFont="1" applyFill="1" applyBorder="1" applyAlignment="1">
      <alignment horizontal="left"/>
    </xf>
    <xf numFmtId="4" fontId="2" fillId="4" borderId="12" xfId="0" applyNumberFormat="1" applyFont="1" applyFill="1" applyBorder="1" applyAlignment="1">
      <alignment horizontal="right"/>
    </xf>
    <xf numFmtId="4" fontId="2" fillId="4" borderId="6" xfId="0" applyNumberFormat="1" applyFont="1" applyFill="1" applyBorder="1" applyAlignment="1">
      <alignment horizontal="right"/>
    </xf>
    <xf numFmtId="4" fontId="3" fillId="0" borderId="7" xfId="0" applyNumberFormat="1" applyFont="1" applyFill="1" applyBorder="1" applyAlignment="1">
      <alignment horizontal="left"/>
    </xf>
    <xf numFmtId="4" fontId="3" fillId="0" borderId="5" xfId="0" applyNumberFormat="1" applyFont="1" applyFill="1" applyBorder="1" applyAlignment="1">
      <alignment horizontal="right"/>
    </xf>
    <xf numFmtId="4" fontId="3" fillId="0" borderId="0" xfId="0" applyNumberFormat="1" applyFont="1" applyFill="1" applyAlignment="1">
      <alignment horizontal="right"/>
    </xf>
    <xf numFmtId="4" fontId="3" fillId="0" borderId="1" xfId="0" applyNumberFormat="1" applyFont="1" applyFill="1" applyBorder="1" applyAlignment="1">
      <alignment horizontal="right"/>
    </xf>
    <xf numFmtId="4" fontId="8" fillId="0" borderId="0" xfId="0" applyNumberFormat="1" applyFont="1" applyFill="1" applyAlignment="1">
      <alignment horizontal="right"/>
    </xf>
    <xf numFmtId="4" fontId="8" fillId="0" borderId="5" xfId="2278" applyNumberFormat="1" applyFont="1" applyFill="1" applyBorder="1"/>
    <xf numFmtId="4" fontId="16" fillId="0" borderId="0" xfId="0" applyNumberFormat="1" applyFont="1" applyFill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2" fillId="4" borderId="15" xfId="0" applyNumberFormat="1" applyFont="1" applyFill="1" applyBorder="1" applyAlignment="1">
      <alignment horizontal="left"/>
    </xf>
    <xf numFmtId="4" fontId="3" fillId="0" borderId="7" xfId="0" applyNumberFormat="1" applyFont="1" applyBorder="1" applyAlignment="1">
      <alignment horizontal="left"/>
    </xf>
    <xf numFmtId="228" fontId="3" fillId="0" borderId="0" xfId="3" applyNumberFormat="1" applyFont="1" applyAlignment="1">
      <alignment horizontal="right"/>
    </xf>
    <xf numFmtId="4" fontId="3" fillId="4" borderId="13" xfId="0" applyNumberFormat="1" applyFont="1" applyFill="1" applyBorder="1" applyAlignment="1">
      <alignment horizontal="left"/>
    </xf>
    <xf numFmtId="231" fontId="3" fillId="4" borderId="1" xfId="0" applyNumberFormat="1" applyFont="1" applyFill="1" applyBorder="1" applyAlignment="1">
      <alignment horizontal="right"/>
    </xf>
    <xf numFmtId="231" fontId="3" fillId="4" borderId="2" xfId="0" applyNumberFormat="1" applyFont="1" applyFill="1" applyBorder="1" applyAlignment="1">
      <alignment horizontal="right"/>
    </xf>
    <xf numFmtId="4" fontId="3" fillId="4" borderId="7" xfId="0" applyNumberFormat="1" applyFont="1" applyFill="1" applyBorder="1" applyAlignment="1">
      <alignment horizontal="left"/>
    </xf>
    <xf numFmtId="231" fontId="3" fillId="4" borderId="5" xfId="0" applyNumberFormat="1" applyFont="1" applyFill="1" applyBorder="1" applyAlignment="1">
      <alignment horizontal="right"/>
    </xf>
    <xf numFmtId="231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4" fontId="3" fillId="4" borderId="0" xfId="0" applyNumberFormat="1" applyFont="1" applyFill="1" applyAlignment="1">
      <alignment horizontal="right"/>
    </xf>
    <xf numFmtId="228" fontId="3" fillId="4" borderId="7" xfId="3" applyNumberFormat="1" applyFont="1" applyFill="1" applyBorder="1" applyAlignment="1">
      <alignment horizontal="left"/>
    </xf>
    <xf numFmtId="228" fontId="3" fillId="4" borderId="5" xfId="3" applyNumberFormat="1" applyFont="1" applyFill="1" applyBorder="1" applyAlignment="1">
      <alignment horizontal="right"/>
    </xf>
    <xf numFmtId="228" fontId="3" fillId="4" borderId="0" xfId="3" applyNumberFormat="1" applyFont="1" applyFill="1" applyBorder="1" applyAlignment="1">
      <alignment horizontal="right"/>
    </xf>
    <xf numFmtId="4" fontId="3" fillId="0" borderId="15" xfId="0" applyNumberFormat="1" applyFont="1" applyBorder="1" applyAlignment="1">
      <alignment horizontal="left"/>
    </xf>
    <xf numFmtId="4" fontId="3" fillId="0" borderId="6" xfId="0" applyNumberFormat="1" applyFont="1" applyBorder="1" applyAlignment="1">
      <alignment horizontal="right"/>
    </xf>
    <xf numFmtId="4" fontId="3" fillId="0" borderId="16" xfId="0" applyNumberFormat="1" applyFont="1" applyBorder="1" applyAlignment="1">
      <alignment horizontal="right"/>
    </xf>
    <xf numFmtId="231" fontId="2" fillId="2" borderId="6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231" fontId="2" fillId="2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231" fontId="2" fillId="2" borderId="16" xfId="0" applyNumberFormat="1" applyFont="1" applyFill="1" applyBorder="1" applyAlignment="1">
      <alignment horizontal="right"/>
    </xf>
    <xf numFmtId="231" fontId="23" fillId="6" borderId="5" xfId="0" applyNumberFormat="1" applyFont="1" applyFill="1" applyBorder="1" applyAlignment="1">
      <alignment horizontal="right"/>
    </xf>
    <xf numFmtId="231" fontId="23" fillId="6" borderId="0" xfId="0" applyNumberFormat="1" applyFont="1" applyFill="1" applyAlignment="1">
      <alignment horizontal="right"/>
    </xf>
    <xf numFmtId="231" fontId="16" fillId="0" borderId="0" xfId="0" applyNumberFormat="1" applyFont="1" applyAlignment="1">
      <alignment horizontal="right"/>
    </xf>
    <xf numFmtId="231" fontId="2" fillId="4" borderId="15" xfId="0" applyNumberFormat="1" applyFont="1" applyFill="1" applyBorder="1" applyAlignment="1">
      <alignment horizontal="left"/>
    </xf>
    <xf numFmtId="231" fontId="2" fillId="4" borderId="12" xfId="0" applyNumberFormat="1" applyFont="1" applyFill="1" applyBorder="1" applyAlignment="1">
      <alignment horizontal="right"/>
    </xf>
    <xf numFmtId="231" fontId="2" fillId="4" borderId="6" xfId="0" applyNumberFormat="1" applyFont="1" applyFill="1" applyBorder="1" applyAlignment="1">
      <alignment horizontal="right"/>
    </xf>
    <xf numFmtId="186" fontId="2" fillId="4" borderId="6" xfId="0" applyNumberFormat="1" applyFont="1" applyFill="1" applyBorder="1" applyAlignment="1">
      <alignment horizontal="right"/>
    </xf>
    <xf numFmtId="231" fontId="2" fillId="4" borderId="13" xfId="0" applyNumberFormat="1" applyFont="1" applyFill="1" applyBorder="1" applyAlignment="1">
      <alignment horizontal="left"/>
    </xf>
    <xf numFmtId="231" fontId="2" fillId="4" borderId="1" xfId="0" applyNumberFormat="1" applyFont="1" applyFill="1" applyBorder="1" applyAlignment="1">
      <alignment horizontal="right"/>
    </xf>
    <xf numFmtId="231" fontId="2" fillId="4" borderId="2" xfId="0" applyNumberFormat="1" applyFont="1" applyFill="1" applyBorder="1" applyAlignment="1">
      <alignment horizontal="right"/>
    </xf>
    <xf numFmtId="231" fontId="6" fillId="0" borderId="15" xfId="0" applyNumberFormat="1" applyFont="1" applyBorder="1" applyAlignment="1">
      <alignment horizontal="left"/>
    </xf>
    <xf numFmtId="231" fontId="6" fillId="0" borderId="6" xfId="0" applyNumberFormat="1" applyFont="1" applyBorder="1" applyAlignment="1">
      <alignment horizontal="right"/>
    </xf>
    <xf numFmtId="231" fontId="6" fillId="0" borderId="2" xfId="0" applyNumberFormat="1" applyFont="1" applyBorder="1" applyAlignment="1">
      <alignment horizontal="right"/>
    </xf>
    <xf numFmtId="231" fontId="6" fillId="0" borderId="16" xfId="0" applyNumberFormat="1" applyFont="1" applyBorder="1" applyAlignment="1">
      <alignment horizontal="right"/>
    </xf>
    <xf numFmtId="231" fontId="2" fillId="4" borderId="16" xfId="0" applyNumberFormat="1" applyFont="1" applyFill="1" applyBorder="1" applyAlignment="1">
      <alignment horizontal="right"/>
    </xf>
    <xf numFmtId="231" fontId="3" fillId="4" borderId="7" xfId="0" applyNumberFormat="1" applyFont="1" applyFill="1" applyBorder="1" applyAlignment="1">
      <alignment horizontal="left"/>
    </xf>
    <xf numFmtId="186" fontId="3" fillId="4" borderId="0" xfId="0" applyNumberFormat="1" applyFont="1" applyFill="1" applyAlignment="1">
      <alignment horizontal="right"/>
    </xf>
    <xf numFmtId="231" fontId="2" fillId="4" borderId="7" xfId="0" applyNumberFormat="1" applyFont="1" applyFill="1" applyBorder="1" applyAlignment="1">
      <alignment horizontal="left"/>
    </xf>
    <xf numFmtId="231" fontId="2" fillId="4" borderId="5" xfId="0" applyNumberFormat="1" applyFont="1" applyFill="1" applyBorder="1" applyAlignment="1">
      <alignment horizontal="right"/>
    </xf>
    <xf numFmtId="231" fontId="2" fillId="4" borderId="0" xfId="0" applyNumberFormat="1" applyFont="1" applyFill="1" applyAlignment="1">
      <alignment horizontal="right"/>
    </xf>
    <xf numFmtId="231" fontId="3" fillId="4" borderId="0" xfId="3" applyNumberFormat="1" applyFont="1" applyFill="1" applyBorder="1" applyAlignment="1">
      <alignment horizontal="right"/>
    </xf>
    <xf numFmtId="231" fontId="8" fillId="4" borderId="0" xfId="0" applyNumberFormat="1" applyFont="1" applyFill="1" applyAlignment="1">
      <alignment horizontal="right"/>
    </xf>
    <xf numFmtId="231" fontId="6" fillId="4" borderId="7" xfId="0" applyNumberFormat="1" applyFont="1" applyFill="1" applyBorder="1" applyAlignment="1">
      <alignment horizontal="left"/>
    </xf>
    <xf numFmtId="231" fontId="6" fillId="4" borderId="5" xfId="0" applyNumberFormat="1" applyFont="1" applyFill="1" applyBorder="1" applyAlignment="1">
      <alignment horizontal="right"/>
    </xf>
    <xf numFmtId="231" fontId="6" fillId="4" borderId="0" xfId="0" applyNumberFormat="1" applyFont="1" applyFill="1" applyAlignment="1">
      <alignment horizontal="right"/>
    </xf>
    <xf numFmtId="186" fontId="6" fillId="4" borderId="0" xfId="0" applyNumberFormat="1" applyFont="1" applyFill="1" applyAlignment="1">
      <alignment horizontal="right"/>
    </xf>
    <xf numFmtId="4" fontId="6" fillId="4" borderId="0" xfId="0" applyNumberFormat="1" applyFont="1" applyFill="1" applyAlignment="1">
      <alignment horizontal="right"/>
    </xf>
    <xf numFmtId="231" fontId="3" fillId="0" borderId="15" xfId="0" applyNumberFormat="1" applyFont="1" applyBorder="1" applyAlignment="1">
      <alignment horizontal="left"/>
    </xf>
    <xf numFmtId="231" fontId="3" fillId="0" borderId="6" xfId="0" applyNumberFormat="1" applyFont="1" applyBorder="1" applyAlignment="1">
      <alignment horizontal="right"/>
    </xf>
    <xf numFmtId="231" fontId="3" fillId="0" borderId="16" xfId="0" applyNumberFormat="1" applyFont="1" applyBorder="1" applyAlignment="1">
      <alignment horizontal="right"/>
    </xf>
    <xf numFmtId="4" fontId="2" fillId="2" borderId="6" xfId="0" applyNumberFormat="1" applyFont="1" applyFill="1" applyBorder="1" applyAlignment="1">
      <alignment horizontal="right"/>
    </xf>
    <xf numFmtId="231" fontId="2" fillId="2" borderId="17" xfId="0" applyNumberFormat="1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4" fontId="2" fillId="0" borderId="0" xfId="0" applyNumberFormat="1" applyFont="1" applyAlignment="1">
      <alignment horizontal="right"/>
    </xf>
    <xf numFmtId="3" fontId="2" fillId="0" borderId="5" xfId="0" applyNumberFormat="1" applyFont="1" applyBorder="1" applyAlignment="1">
      <alignment horizontal="right"/>
    </xf>
    <xf numFmtId="231" fontId="9" fillId="4" borderId="6" xfId="0" applyNumberFormat="1" applyFont="1" applyFill="1" applyBorder="1" applyAlignment="1">
      <alignment horizontal="right"/>
    </xf>
    <xf numFmtId="231" fontId="8" fillId="5" borderId="0" xfId="0" applyNumberFormat="1" applyFont="1" applyFill="1" applyAlignment="1">
      <alignment horizontal="right"/>
    </xf>
    <xf numFmtId="186" fontId="8" fillId="0" borderId="0" xfId="0" applyNumberFormat="1" applyFont="1" applyAlignment="1">
      <alignment horizontal="right"/>
    </xf>
    <xf numFmtId="186" fontId="6" fillId="0" borderId="5" xfId="0" applyNumberFormat="1" applyFont="1" applyBorder="1" applyAlignment="1">
      <alignment horizontal="right"/>
    </xf>
    <xf numFmtId="231" fontId="3" fillId="0" borderId="7" xfId="2244" applyNumberFormat="1" applyFont="1" applyBorder="1" applyAlignment="1">
      <alignment horizontal="left"/>
    </xf>
    <xf numFmtId="231" fontId="1" fillId="0" borderId="7" xfId="2244" applyNumberFormat="1" applyFont="1" applyBorder="1" applyAlignment="1">
      <alignment horizontal="left"/>
    </xf>
    <xf numFmtId="0" fontId="24" fillId="0" borderId="7" xfId="0" applyFont="1" applyBorder="1"/>
    <xf numFmtId="228" fontId="1" fillId="0" borderId="5" xfId="0" applyNumberFormat="1" applyFont="1" applyBorder="1"/>
    <xf numFmtId="228" fontId="11" fillId="0" borderId="0" xfId="0" applyNumberFormat="1" applyFont="1"/>
    <xf numFmtId="9" fontId="3" fillId="0" borderId="5" xfId="3" applyFont="1" applyFill="1" applyBorder="1"/>
    <xf numFmtId="9" fontId="3" fillId="0" borderId="0" xfId="0" applyNumberFormat="1" applyFont="1"/>
    <xf numFmtId="227" fontId="2" fillId="0" borderId="5" xfId="0" applyNumberFormat="1" applyFont="1" applyBorder="1"/>
    <xf numFmtId="227" fontId="2" fillId="0" borderId="5" xfId="0" applyNumberFormat="1" applyFont="1" applyFill="1" applyBorder="1"/>
    <xf numFmtId="227" fontId="2" fillId="0" borderId="0" xfId="0" applyNumberFormat="1" applyFont="1" applyFill="1"/>
    <xf numFmtId="227" fontId="9" fillId="0" borderId="0" xfId="0" applyNumberFormat="1" applyFont="1" applyFill="1"/>
    <xf numFmtId="0" fontId="2" fillId="0" borderId="5" xfId="0" applyFont="1" applyBorder="1"/>
    <xf numFmtId="228" fontId="1" fillId="0" borderId="0" xfId="3" applyNumberFormat="1" applyFont="1" applyFill="1" applyBorder="1"/>
    <xf numFmtId="228" fontId="1" fillId="0" borderId="18" xfId="3" applyNumberFormat="1" applyFont="1" applyFill="1" applyBorder="1"/>
    <xf numFmtId="0" fontId="1" fillId="0" borderId="5" xfId="0" applyFont="1" applyBorder="1"/>
    <xf numFmtId="1" fontId="3" fillId="0" borderId="5" xfId="3" applyNumberFormat="1" applyFont="1" applyFill="1" applyBorder="1"/>
    <xf numFmtId="1" fontId="3" fillId="0" borderId="0" xfId="3" applyNumberFormat="1" applyFont="1" applyFill="1" applyBorder="1"/>
    <xf numFmtId="1" fontId="3" fillId="0" borderId="7" xfId="3" applyNumberFormat="1" applyFont="1" applyFill="1" applyBorder="1"/>
    <xf numFmtId="1" fontId="3" fillId="0" borderId="18" xfId="3" applyNumberFormat="1" applyFont="1" applyFill="1" applyBorder="1"/>
    <xf numFmtId="231" fontId="3" fillId="0" borderId="5" xfId="3" applyNumberFormat="1" applyFont="1" applyFill="1" applyBorder="1"/>
    <xf numFmtId="231" fontId="3" fillId="0" borderId="0" xfId="3" applyNumberFormat="1" applyFont="1" applyFill="1" applyBorder="1"/>
    <xf numFmtId="231" fontId="3" fillId="0" borderId="7" xfId="3" applyNumberFormat="1" applyFont="1" applyFill="1" applyBorder="1"/>
    <xf numFmtId="231" fontId="3" fillId="0" borderId="18" xfId="3" applyNumberFormat="1" applyFont="1" applyFill="1" applyBorder="1"/>
    <xf numFmtId="231" fontId="2" fillId="0" borderId="18" xfId="0" applyNumberFormat="1" applyFont="1" applyBorder="1"/>
    <xf numFmtId="231" fontId="2" fillId="0" borderId="5" xfId="0" applyNumberFormat="1" applyFont="1" applyFill="1" applyBorder="1"/>
    <xf numFmtId="231" fontId="10" fillId="0" borderId="5" xfId="0" applyNumberFormat="1" applyFont="1" applyBorder="1"/>
    <xf numFmtId="231" fontId="3" fillId="0" borderId="18" xfId="0" applyNumberFormat="1" applyFont="1" applyBorder="1"/>
    <xf numFmtId="231" fontId="3" fillId="0" borderId="5" xfId="0" applyNumberFormat="1" applyFont="1" applyFill="1" applyBorder="1"/>
    <xf numFmtId="231" fontId="6" fillId="0" borderId="5" xfId="0" applyNumberFormat="1" applyFont="1" applyBorder="1"/>
    <xf numFmtId="0" fontId="3" fillId="0" borderId="5" xfId="0" applyFont="1" applyFill="1" applyBorder="1"/>
    <xf numFmtId="0" fontId="6" fillId="0" borderId="5" xfId="0" applyFont="1" applyBorder="1"/>
    <xf numFmtId="0" fontId="2" fillId="0" borderId="5" xfId="0" applyFont="1" applyFill="1" applyBorder="1"/>
    <xf numFmtId="0" fontId="10" fillId="0" borderId="5" xfId="0" applyFont="1" applyBorder="1"/>
    <xf numFmtId="10" fontId="3" fillId="0" borderId="5" xfId="0" applyNumberFormat="1" applyFont="1" applyBorder="1"/>
    <xf numFmtId="10" fontId="3" fillId="0" borderId="0" xfId="0" applyNumberFormat="1" applyFont="1"/>
    <xf numFmtId="231" fontId="9" fillId="0" borderId="5" xfId="0" applyNumberFormat="1" applyFont="1" applyBorder="1"/>
    <xf numFmtId="231" fontId="9" fillId="0" borderId="0" xfId="0" applyNumberFormat="1" applyFont="1" applyFill="1"/>
    <xf numFmtId="231" fontId="17" fillId="0" borderId="0" xfId="0" applyNumberFormat="1" applyFont="1" applyFill="1"/>
    <xf numFmtId="228" fontId="1" fillId="0" borderId="7" xfId="0" applyNumberFormat="1" applyFont="1" applyBorder="1"/>
    <xf numFmtId="228" fontId="1" fillId="0" borderId="5" xfId="0" applyNumberFormat="1" applyFont="1" applyFill="1" applyBorder="1"/>
    <xf numFmtId="228" fontId="1" fillId="0" borderId="0" xfId="0" applyNumberFormat="1" applyFont="1" applyFill="1"/>
    <xf numFmtId="227" fontId="20" fillId="0" borderId="0" xfId="0" applyNumberFormat="1" applyFont="1"/>
    <xf numFmtId="9" fontId="20" fillId="0" borderId="0" xfId="3" applyFont="1" applyFill="1" applyBorder="1"/>
    <xf numFmtId="231" fontId="20" fillId="0" borderId="5" xfId="0" applyNumberFormat="1" applyFont="1" applyBorder="1"/>
    <xf numFmtId="228" fontId="2" fillId="0" borderId="0" xfId="0" applyNumberFormat="1" applyFont="1"/>
    <xf numFmtId="228" fontId="1" fillId="0" borderId="7" xfId="0" applyNumberFormat="1" applyFont="1" applyBorder="1" applyAlignment="1">
      <alignment horizontal="left" indent="1"/>
    </xf>
    <xf numFmtId="228" fontId="11" fillId="0" borderId="0" xfId="0" applyNumberFormat="1" applyFont="1" applyFill="1"/>
    <xf numFmtId="228" fontId="11" fillId="0" borderId="0" xfId="3" applyNumberFormat="1" applyFont="1" applyFill="1" applyBorder="1"/>
    <xf numFmtId="228" fontId="15" fillId="0" borderId="0" xfId="3" applyNumberFormat="1" applyFont="1" applyFill="1" applyBorder="1"/>
    <xf numFmtId="0" fontId="11" fillId="0" borderId="7" xfId="0" applyFont="1" applyBorder="1" applyAlignment="1">
      <alignment horizontal="left" indent="1"/>
    </xf>
    <xf numFmtId="228" fontId="11" fillId="0" borderId="5" xfId="0" applyNumberFormat="1" applyFont="1" applyBorder="1"/>
    <xf numFmtId="228" fontId="11" fillId="0" borderId="5" xfId="0" applyNumberFormat="1" applyFont="1" applyFill="1" applyBorder="1"/>
    <xf numFmtId="231" fontId="18" fillId="0" borderId="7" xfId="2244" applyNumberFormat="1" applyFont="1" applyBorder="1" applyAlignment="1">
      <alignment horizontal="left"/>
    </xf>
    <xf numFmtId="1" fontId="3" fillId="0" borderId="7" xfId="2244" applyNumberFormat="1" applyFont="1" applyBorder="1" applyAlignment="1">
      <alignment horizontal="left"/>
    </xf>
    <xf numFmtId="231" fontId="2" fillId="0" borderId="7" xfId="2244" applyNumberFormat="1" applyFont="1" applyBorder="1" applyAlignment="1">
      <alignment horizontal="left"/>
    </xf>
    <xf numFmtId="3" fontId="3" fillId="0" borderId="7" xfId="2244" applyNumberFormat="1" applyFont="1" applyBorder="1" applyAlignment="1">
      <alignment horizontal="left"/>
    </xf>
    <xf numFmtId="372" fontId="3" fillId="0" borderId="5" xfId="2244" applyNumberFormat="1" applyFont="1" applyBorder="1" applyAlignment="1">
      <alignment horizontal="right"/>
    </xf>
    <xf numFmtId="372" fontId="3" fillId="0" borderId="0" xfId="2244" applyNumberFormat="1" applyFont="1" applyAlignment="1">
      <alignment horizontal="right"/>
    </xf>
    <xf numFmtId="3" fontId="3" fillId="0" borderId="5" xfId="2244" applyNumberFormat="1" applyFont="1" applyBorder="1" applyAlignment="1">
      <alignment horizontal="right"/>
    </xf>
    <xf numFmtId="3" fontId="3" fillId="0" borderId="0" xfId="2244" applyNumberFormat="1" applyFont="1" applyAlignment="1">
      <alignment horizontal="right"/>
    </xf>
    <xf numFmtId="228" fontId="2" fillId="0" borderId="5" xfId="0" applyNumberFormat="1" applyFont="1" applyBorder="1" applyAlignment="1">
      <alignment horizontal="right"/>
    </xf>
    <xf numFmtId="372" fontId="2" fillId="0" borderId="5" xfId="2244" applyNumberFormat="1" applyFont="1" applyBorder="1" applyAlignment="1">
      <alignment horizontal="right"/>
    </xf>
    <xf numFmtId="228" fontId="7" fillId="0" borderId="0" xfId="3" applyNumberFormat="1" applyFont="1" applyFill="1" applyBorder="1" applyAlignment="1">
      <alignment horizontal="right"/>
    </xf>
    <xf numFmtId="228" fontId="1" fillId="7" borderId="7" xfId="3" applyNumberFormat="1" applyFont="1" applyFill="1" applyBorder="1"/>
    <xf numFmtId="231" fontId="7" fillId="7" borderId="5" xfId="3" applyNumberFormat="1" applyFont="1" applyFill="1" applyBorder="1" applyAlignment="1">
      <alignment horizontal="right"/>
    </xf>
    <xf numFmtId="231" fontId="7" fillId="7" borderId="0" xfId="3" applyNumberFormat="1" applyFont="1" applyFill="1" applyAlignment="1">
      <alignment horizontal="right"/>
    </xf>
    <xf numFmtId="231" fontId="1" fillId="7" borderId="5" xfId="3" applyNumberFormat="1" applyFont="1" applyFill="1" applyBorder="1" applyAlignment="1">
      <alignment horizontal="right"/>
    </xf>
    <xf numFmtId="231" fontId="7" fillId="7" borderId="0" xfId="3" applyNumberFormat="1" applyFont="1" applyFill="1" applyBorder="1" applyAlignment="1">
      <alignment horizontal="right"/>
    </xf>
    <xf numFmtId="231" fontId="1" fillId="7" borderId="0" xfId="3" applyNumberFormat="1" applyFont="1" applyFill="1" applyBorder="1" applyAlignment="1">
      <alignment horizontal="right"/>
    </xf>
    <xf numFmtId="231" fontId="15" fillId="7" borderId="0" xfId="3" applyNumberFormat="1" applyFont="1" applyFill="1" applyBorder="1" applyAlignment="1">
      <alignment horizontal="right"/>
    </xf>
    <xf numFmtId="231" fontId="3" fillId="7" borderId="0" xfId="0" applyNumberFormat="1" applyFont="1" applyFill="1" applyAlignment="1">
      <alignment horizontal="right"/>
    </xf>
    <xf numFmtId="231" fontId="3" fillId="7" borderId="5" xfId="0" applyNumberFormat="1" applyFont="1" applyFill="1" applyBorder="1" applyAlignment="1">
      <alignment horizontal="right"/>
    </xf>
    <xf numFmtId="0" fontId="25" fillId="4" borderId="15" xfId="0" applyFont="1" applyFill="1" applyBorder="1"/>
    <xf numFmtId="0" fontId="25" fillId="4" borderId="6" xfId="0" applyFont="1" applyFill="1" applyBorder="1"/>
    <xf numFmtId="0" fontId="0" fillId="4" borderId="6" xfId="0" applyFill="1" applyBorder="1"/>
    <xf numFmtId="0" fontId="0" fillId="4" borderId="16" xfId="0" applyFill="1" applyBorder="1"/>
    <xf numFmtId="231" fontId="18" fillId="0" borderId="7" xfId="0" applyNumberFormat="1" applyFont="1" applyBorder="1" applyAlignment="1">
      <alignment horizontal="left"/>
    </xf>
    <xf numFmtId="372" fontId="3" fillId="0" borderId="5" xfId="0" applyNumberFormat="1" applyFont="1" applyBorder="1" applyAlignment="1">
      <alignment horizontal="right"/>
    </xf>
    <xf numFmtId="372" fontId="23" fillId="0" borderId="0" xfId="0" applyNumberFormat="1" applyFont="1" applyAlignment="1">
      <alignment horizontal="right"/>
    </xf>
    <xf numFmtId="372" fontId="3" fillId="0" borderId="0" xfId="0" applyNumberFormat="1" applyFont="1" applyAlignment="1">
      <alignment horizontal="right"/>
    </xf>
    <xf numFmtId="231" fontId="23" fillId="0" borderId="0" xfId="0" applyNumberFormat="1" applyFont="1" applyAlignment="1">
      <alignment horizontal="right"/>
    </xf>
    <xf numFmtId="228" fontId="3" fillId="0" borderId="7" xfId="3" applyNumberFormat="1" applyFont="1" applyFill="1" applyBorder="1" applyAlignment="1">
      <alignment horizontal="left"/>
    </xf>
    <xf numFmtId="228" fontId="6" fillId="0" borderId="0" xfId="3" applyNumberFormat="1" applyFont="1" applyFill="1" applyAlignment="1">
      <alignment horizontal="right"/>
    </xf>
    <xf numFmtId="228" fontId="8" fillId="0" borderId="0" xfId="3" applyNumberFormat="1" applyFont="1" applyFill="1" applyAlignment="1">
      <alignment horizontal="right"/>
    </xf>
    <xf numFmtId="9" fontId="6" fillId="0" borderId="0" xfId="3" applyFont="1" applyFill="1" applyAlignment="1">
      <alignment horizontal="right"/>
    </xf>
    <xf numFmtId="228" fontId="2" fillId="0" borderId="7" xfId="3" applyNumberFormat="1" applyFont="1" applyFill="1" applyBorder="1" applyAlignment="1">
      <alignment horizontal="left"/>
    </xf>
    <xf numFmtId="228" fontId="2" fillId="0" borderId="5" xfId="3" applyNumberFormat="1" applyFont="1" applyFill="1" applyBorder="1" applyAlignment="1">
      <alignment horizontal="right"/>
    </xf>
    <xf numFmtId="228" fontId="2" fillId="0" borderId="0" xfId="3" applyNumberFormat="1" applyFont="1" applyFill="1" applyAlignment="1">
      <alignment horizontal="right"/>
    </xf>
    <xf numFmtId="9" fontId="2" fillId="0" borderId="0" xfId="3" applyFont="1" applyFill="1" applyAlignment="1">
      <alignment horizontal="right"/>
    </xf>
    <xf numFmtId="231" fontId="3" fillId="0" borderId="7" xfId="2278" applyNumberFormat="1" applyFont="1" applyBorder="1" applyAlignment="1">
      <alignment horizontal="left"/>
    </xf>
    <xf numFmtId="231" fontId="18" fillId="0" borderId="7" xfId="2278" applyNumberFormat="1" applyFont="1" applyBorder="1" applyAlignment="1">
      <alignment horizontal="left"/>
    </xf>
    <xf numFmtId="228" fontId="2" fillId="0" borderId="0" xfId="3" applyNumberFormat="1" applyFont="1" applyFill="1" applyBorder="1" applyAlignment="1">
      <alignment horizontal="right"/>
    </xf>
    <xf numFmtId="377" fontId="3" fillId="0" borderId="5" xfId="0" applyNumberFormat="1" applyFont="1" applyFill="1" applyBorder="1" applyAlignment="1">
      <alignment horizontal="right"/>
    </xf>
    <xf numFmtId="368" fontId="3" fillId="0" borderId="0" xfId="0" applyNumberFormat="1" applyFont="1" applyAlignment="1">
      <alignment horizontal="right"/>
    </xf>
    <xf numFmtId="368" fontId="8" fillId="0" borderId="0" xfId="0" applyNumberFormat="1" applyFont="1" applyAlignment="1">
      <alignment horizontal="right"/>
    </xf>
    <xf numFmtId="368" fontId="8" fillId="0" borderId="5" xfId="0" applyNumberFormat="1" applyFont="1" applyBorder="1" applyAlignment="1">
      <alignment horizontal="right"/>
    </xf>
    <xf numFmtId="368" fontId="8" fillId="0" borderId="0" xfId="0" applyNumberFormat="1" applyFont="1" applyFill="1" applyAlignment="1">
      <alignment horizontal="right"/>
    </xf>
    <xf numFmtId="368" fontId="8" fillId="0" borderId="5" xfId="0" applyNumberFormat="1" applyFont="1" applyFill="1" applyBorder="1" applyAlignment="1">
      <alignment horizontal="right"/>
    </xf>
    <xf numFmtId="228" fontId="21" fillId="0" borderId="0" xfId="3" applyNumberFormat="1" applyFont="1" applyFill="1" applyBorder="1" applyAlignment="1">
      <alignment horizontal="right"/>
    </xf>
    <xf numFmtId="0" fontId="26" fillId="0" borderId="14" xfId="0" applyFont="1" applyBorder="1"/>
    <xf numFmtId="0" fontId="3" fillId="0" borderId="4" xfId="0" applyFont="1" applyBorder="1"/>
    <xf numFmtId="0" fontId="5" fillId="8" borderId="2" xfId="2303" applyFont="1" applyFill="1" applyBorder="1" applyAlignment="1">
      <alignment horizontal="center" vertical="center"/>
    </xf>
    <xf numFmtId="0" fontId="5" fillId="8" borderId="0" xfId="2303" applyFont="1" applyFill="1" applyAlignment="1">
      <alignment horizontal="center" vertical="center"/>
    </xf>
    <xf numFmtId="0" fontId="5" fillId="8" borderId="4" xfId="2303" applyFont="1" applyFill="1" applyBorder="1" applyAlignment="1">
      <alignment horizontal="center" vertical="center"/>
    </xf>
    <xf numFmtId="0" fontId="3" fillId="0" borderId="0" xfId="2303" applyAlignment="1">
      <alignment horizontal="center" vertical="center"/>
    </xf>
    <xf numFmtId="0" fontId="27" fillId="8" borderId="0" xfId="2303" applyFont="1" applyFill="1" applyAlignment="1">
      <alignment horizontal="centerContinuous" vertical="center"/>
    </xf>
    <xf numFmtId="0" fontId="5" fillId="8" borderId="0" xfId="2303" applyFont="1" applyFill="1" applyAlignment="1">
      <alignment horizontal="centerContinuous" vertical="center"/>
    </xf>
    <xf numFmtId="0" fontId="28" fillId="8" borderId="0" xfId="2303" applyFont="1" applyFill="1" applyAlignment="1">
      <alignment horizontal="centerContinuous" vertical="center"/>
    </xf>
    <xf numFmtId="0" fontId="4" fillId="8" borderId="0" xfId="2303" applyFont="1" applyFill="1" applyAlignment="1">
      <alignment horizontal="centerContinuous" vertical="center"/>
    </xf>
    <xf numFmtId="0" fontId="1" fillId="0" borderId="0" xfId="2303" applyFont="1" applyAlignment="1">
      <alignment horizontal="left" vertical="center"/>
    </xf>
    <xf numFmtId="0" fontId="2" fillId="0" borderId="0" xfId="2303" applyFont="1" applyFill="1" applyAlignment="1">
      <alignment horizontal="left" vertical="center"/>
    </xf>
    <xf numFmtId="0" fontId="3" fillId="0" borderId="0" xfId="2303" applyAlignment="1">
      <alignment horizontal="left" vertical="center"/>
    </xf>
    <xf numFmtId="0" fontId="2" fillId="0" borderId="0" xfId="2303" applyFont="1" applyAlignment="1">
      <alignment horizontal="left" vertical="center"/>
    </xf>
    <xf numFmtId="0" fontId="2" fillId="5" borderId="0" xfId="2305" applyFont="1" applyFill="1" applyAlignment="1">
      <alignment horizontal="left" vertical="center"/>
    </xf>
    <xf numFmtId="0" fontId="3" fillId="5" borderId="0" xfId="2305" applyFont="1" applyFill="1" applyAlignment="1">
      <alignment horizontal="left" vertical="center"/>
    </xf>
    <xf numFmtId="228" fontId="1" fillId="0" borderId="0" xfId="3" applyNumberFormat="1" applyFont="1" applyFill="1" applyAlignment="1" quotePrefix="1">
      <alignment horizontal="right"/>
    </xf>
    <xf numFmtId="228" fontId="1" fillId="0" borderId="5" xfId="3" applyNumberFormat="1" applyFont="1" applyFill="1" applyBorder="1" applyAlignment="1" quotePrefix="1">
      <alignment horizontal="right"/>
    </xf>
    <xf numFmtId="228" fontId="2" fillId="0" borderId="7" xfId="3" applyNumberFormat="1" applyFont="1" applyFill="1" applyBorder="1" applyAlignment="1" quotePrefix="1">
      <alignment horizontal="left"/>
    </xf>
    <xf numFmtId="228" fontId="7" fillId="0" borderId="0" xfId="3" applyNumberFormat="1" applyFont="1" applyFill="1" applyAlignment="1" quotePrefix="1">
      <alignment horizontal="right"/>
    </xf>
    <xf numFmtId="228" fontId="7" fillId="0" borderId="5" xfId="3" applyNumberFormat="1" applyFont="1" applyFill="1" applyBorder="1" applyAlignment="1" quotePrefix="1">
      <alignment horizontal="right"/>
    </xf>
    <xf numFmtId="0" fontId="1" fillId="0" borderId="0" xfId="0" applyFont="1" applyAlignment="1" quotePrefix="1">
      <alignment horizontal="right"/>
    </xf>
    <xf numFmtId="0" fontId="1" fillId="0" borderId="5" xfId="0" applyFont="1" applyBorder="1" applyAlignment="1" quotePrefix="1">
      <alignment horizontal="right"/>
    </xf>
    <xf numFmtId="1" fontId="2" fillId="0" borderId="0" xfId="0" applyNumberFormat="1" applyFont="1" applyAlignment="1" quotePrefix="1">
      <alignment horizontal="right"/>
    </xf>
    <xf numFmtId="1" fontId="2" fillId="0" borderId="5" xfId="0" applyNumberFormat="1" applyFont="1" applyBorder="1" applyAlignment="1" quotePrefix="1">
      <alignment horizontal="right"/>
    </xf>
    <xf numFmtId="228" fontId="1" fillId="0" borderId="0" xfId="3" applyNumberFormat="1" applyFont="1" applyAlignment="1" quotePrefix="1">
      <alignment horizontal="right"/>
    </xf>
    <xf numFmtId="228" fontId="1" fillId="0" borderId="5" xfId="3" applyNumberFormat="1" applyFont="1" applyBorder="1" applyAlignment="1" quotePrefix="1">
      <alignment horizontal="right"/>
    </xf>
    <xf numFmtId="0" fontId="2" fillId="0" borderId="5" xfId="0" applyFont="1" applyBorder="1" applyAlignment="1" quotePrefix="1">
      <alignment horizontal="right"/>
    </xf>
    <xf numFmtId="231" fontId="3" fillId="0" borderId="0" xfId="0" applyNumberFormat="1" applyFont="1" applyAlignment="1" quotePrefix="1">
      <alignment horizontal="right"/>
    </xf>
    <xf numFmtId="0" fontId="3" fillId="0" borderId="0" xfId="0" applyFont="1" applyAlignment="1" quotePrefix="1">
      <alignment horizontal="right"/>
    </xf>
    <xf numFmtId="3" fontId="3" fillId="0" borderId="0" xfId="0" applyNumberFormat="1" applyFont="1" applyAlignment="1" quotePrefix="1">
      <alignment horizontal="right"/>
    </xf>
    <xf numFmtId="0" fontId="3" fillId="0" borderId="5" xfId="0" applyFont="1" applyBorder="1" applyAlignment="1" quotePrefix="1">
      <alignment horizontal="right"/>
    </xf>
    <xf numFmtId="1" fontId="3" fillId="0" borderId="0" xfId="0" applyNumberFormat="1" applyFont="1" applyFill="1" applyAlignment="1" quotePrefix="1">
      <alignment horizontal="right"/>
    </xf>
    <xf numFmtId="1" fontId="8" fillId="0" borderId="0" xfId="0" applyNumberFormat="1" applyFont="1" applyFill="1" applyAlignment="1" quotePrefix="1">
      <alignment horizontal="right"/>
    </xf>
    <xf numFmtId="0" fontId="3" fillId="0" borderId="0" xfId="0" applyFont="1" applyFill="1" applyAlignment="1" quotePrefix="1">
      <alignment horizontal="right"/>
    </xf>
    <xf numFmtId="0" fontId="3" fillId="0" borderId="18" xfId="0" applyFont="1" applyFill="1" applyBorder="1" applyAlignment="1" quotePrefix="1">
      <alignment horizontal="right"/>
    </xf>
    <xf numFmtId="0" fontId="3" fillId="0" borderId="5" xfId="0" applyFont="1" applyFill="1" applyBorder="1" applyAlignment="1" quotePrefix="1">
      <alignment horizontal="right"/>
    </xf>
    <xf numFmtId="231" fontId="2" fillId="0" borderId="5" xfId="0" applyNumberFormat="1" applyFont="1" applyFill="1" applyBorder="1" applyAlignment="1" quotePrefix="1">
      <alignment horizontal="right"/>
    </xf>
    <xf numFmtId="231" fontId="2" fillId="0" borderId="0" xfId="0" applyNumberFormat="1" applyFont="1" applyFill="1" applyAlignment="1" quotePrefix="1">
      <alignment horizontal="right"/>
    </xf>
    <xf numFmtId="0" fontId="2" fillId="0" borderId="5" xfId="0" applyFont="1" applyFill="1" applyBorder="1" applyAlignment="1" quotePrefix="1">
      <alignment horizontal="right"/>
    </xf>
    <xf numFmtId="0" fontId="2" fillId="0" borderId="0" xfId="0" applyFont="1" applyFill="1" applyAlignment="1" quotePrefix="1">
      <alignment horizontal="right"/>
    </xf>
    <xf numFmtId="3" fontId="3" fillId="0" borderId="0" xfId="0" applyNumberFormat="1" applyFont="1" applyFill="1" applyAlignment="1" quotePrefix="1">
      <alignment horizontal="right"/>
    </xf>
    <xf numFmtId="231" fontId="2" fillId="0" borderId="0" xfId="0" applyNumberFormat="1" applyFont="1" applyAlignment="1" quotePrefix="1">
      <alignment horizontal="right"/>
    </xf>
    <xf numFmtId="0" fontId="2" fillId="0" borderId="0" xfId="0" applyFont="1" applyAlignment="1" quotePrefix="1">
      <alignment horizontal="right"/>
    </xf>
    <xf numFmtId="231" fontId="3" fillId="0" borderId="0" xfId="0" applyNumberFormat="1" applyFont="1" applyFill="1" applyAlignment="1" quotePrefix="1">
      <alignment horizontal="right"/>
    </xf>
    <xf numFmtId="228" fontId="11" fillId="3" borderId="0" xfId="0" applyNumberFormat="1" applyFont="1" applyFill="1" applyAlignment="1" quotePrefix="1">
      <alignment horizontal="right"/>
    </xf>
    <xf numFmtId="228" fontId="11" fillId="3" borderId="5" xfId="0" applyNumberFormat="1" applyFont="1" applyFill="1" applyBorder="1" applyAlignment="1" quotePrefix="1">
      <alignment horizontal="right"/>
    </xf>
    <xf numFmtId="228" fontId="11" fillId="3" borderId="5" xfId="3" applyNumberFormat="1" applyFont="1" applyFill="1" applyBorder="1" applyAlignment="1" quotePrefix="1">
      <alignment horizontal="right"/>
    </xf>
    <xf numFmtId="9" fontId="1" fillId="3" borderId="0" xfId="3" applyFont="1" applyFill="1" applyBorder="1" applyAlignment="1" quotePrefix="1">
      <alignment horizontal="center"/>
    </xf>
    <xf numFmtId="9" fontId="1" fillId="3" borderId="5" xfId="3" applyFont="1" applyFill="1" applyBorder="1" applyAlignment="1" quotePrefix="1">
      <alignment horizontal="center"/>
    </xf>
    <xf numFmtId="372" fontId="3" fillId="0" borderId="0" xfId="0" applyNumberFormat="1" applyFont="1" applyAlignment="1" quotePrefix="1">
      <alignment horizontal="center"/>
    </xf>
    <xf numFmtId="228" fontId="3" fillId="0" borderId="0" xfId="3" applyNumberFormat="1" applyFont="1" applyBorder="1" applyAlignment="1" quotePrefix="1">
      <alignment horizontal="center"/>
    </xf>
    <xf numFmtId="372" fontId="3" fillId="0" borderId="4" xfId="0" applyNumberFormat="1" applyFont="1" applyBorder="1" applyAlignment="1" quotePrefix="1">
      <alignment horizontal="center"/>
    </xf>
  </cellXfs>
  <cellStyles count="254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2_" xfId="49"/>
    <cellStyle name="'" xfId="50"/>
    <cellStyle name="-" xfId="51"/>
    <cellStyle name="          _x000d__x000a_386grabber=VGA.3GR_x000d__x000a_" xfId="52"/>
    <cellStyle name=" 1" xfId="53"/>
    <cellStyle name="$" xfId="54"/>
    <cellStyle name="$ &amp; ¢" xfId="55"/>
    <cellStyle name="$ &amp; ¢ 2" xfId="56"/>
    <cellStyle name="$ 1 decimal" xfId="57"/>
    <cellStyle name="$ 10" xfId="58"/>
    <cellStyle name="$ 11" xfId="59"/>
    <cellStyle name="$ 12" xfId="60"/>
    <cellStyle name="$ 13" xfId="61"/>
    <cellStyle name="$ 14" xfId="62"/>
    <cellStyle name="$ 15" xfId="63"/>
    <cellStyle name="$ 16" xfId="64"/>
    <cellStyle name="$ 17" xfId="65"/>
    <cellStyle name="$ 2" xfId="66"/>
    <cellStyle name="$ 2 decimals" xfId="67"/>
    <cellStyle name="$ 3" xfId="68"/>
    <cellStyle name="$ 4" xfId="69"/>
    <cellStyle name="$ 5" xfId="70"/>
    <cellStyle name="$ 6" xfId="71"/>
    <cellStyle name="$ 7" xfId="72"/>
    <cellStyle name="$ 8" xfId="73"/>
    <cellStyle name="$ 9" xfId="74"/>
    <cellStyle name="$ in Millions" xfId="75"/>
    <cellStyle name="$_AGRO3 Valuation Model" xfId="76"/>
    <cellStyle name="$_AGRO3 Valuation Model_Raw_financials" xfId="77"/>
    <cellStyle name="$_AGRO3-Valuation-Model-backup02dez08" xfId="78"/>
    <cellStyle name="$_AGRO3-Valuation-Model-backup02dez08 2" xfId="79"/>
    <cellStyle name="$_FFTL4 Valuation Model" xfId="80"/>
    <cellStyle name="$_FFTL4 Valuation Model 2" xfId="81"/>
    <cellStyle name="$_PCP" xfId="82"/>
    <cellStyle name="$_SLCE3 Valuation Model" xfId="83"/>
    <cellStyle name="$_SLCE3 Valuation Model_Raw_financials" xfId="84"/>
    <cellStyle name="$0.0" xfId="85"/>
    <cellStyle name="$0.00" xfId="86"/>
    <cellStyle name="$0.000" xfId="87"/>
    <cellStyle name="$000's" xfId="88"/>
    <cellStyle name="$000's Bold" xfId="89"/>
    <cellStyle name="$000's Bold DUnderline" xfId="90"/>
    <cellStyle name="$000's Bold_1q_securities" xfId="91"/>
    <cellStyle name="$000's_1q_securities" xfId="92"/>
    <cellStyle name="$000s1Place" xfId="93"/>
    <cellStyle name="$3places" xfId="94"/>
    <cellStyle name="$m" xfId="95"/>
    <cellStyle name="$MMs1Place" xfId="96"/>
    <cellStyle name="$MMs2Places" xfId="97"/>
    <cellStyle name="$norm" xfId="98"/>
    <cellStyle name="$norm 2" xfId="99"/>
    <cellStyle name="$normbold" xfId="100"/>
    <cellStyle name="$normbold 2" xfId="101"/>
    <cellStyle name="$q" xfId="102"/>
    <cellStyle name="$q*" xfId="103"/>
    <cellStyle name="$qA" xfId="104"/>
    <cellStyle name="$qRange" xfId="105"/>
    <cellStyle name="%" xfId="106"/>
    <cellStyle name="% [2]" xfId="107"/>
    <cellStyle name="% Growth" xfId="108"/>
    <cellStyle name="% of Revenues" xfId="109"/>
    <cellStyle name="%.00" xfId="110"/>
    <cellStyle name="%.00 2" xfId="111"/>
    <cellStyle name="%_AESA_WIP_ANAtest" xfId="112"/>
    <cellStyle name="%_AGRO3 Valuation Model" xfId="113"/>
    <cellStyle name="%_AGRO3 Valuation Model 2" xfId="114"/>
    <cellStyle name="%_AGRO3-Valuation-Model-backup02dez08" xfId="115"/>
    <cellStyle name="%_AGRO3-Valuation-Model-backup02dez08 2" xfId="116"/>
    <cellStyle name="%_Estacio_Oficial_ANA_outsource_test" xfId="117"/>
    <cellStyle name="%_Estacio_Oficial_ANA_outsource_test 2" xfId="118"/>
    <cellStyle name="%_Estacio_Oficial_ANA_outsource_test_2" xfId="119"/>
    <cellStyle name="%_Estacio_Oficial_ANA_outsource_test_2 2" xfId="120"/>
    <cellStyle name="%_FFTL4 Valuation Model" xfId="121"/>
    <cellStyle name="%_FFTL4 Valuation Model 2" xfId="122"/>
    <cellStyle name="%_SLCE3 Valuation Model" xfId="123"/>
    <cellStyle name="%_SLCE3 Valuation Model 2" xfId="124"/>
    <cellStyle name="%_WORKING_prjcsmg2007_new" xfId="125"/>
    <cellStyle name="%_WORKING_prjcsmg2007_new 2" xfId="126"/>
    <cellStyle name="******************************************" xfId="127"/>
    <cellStyle name="-.024" xfId="128"/>
    <cellStyle name="-.024 2" xfId="129"/>
    <cellStyle name="-.024 3" xfId="130"/>
    <cellStyle name="-.024 4" xfId="131"/>
    <cellStyle name=";;;" xfId="132"/>
    <cellStyle name="??" xfId="133"/>
    <cellStyle name="?? [0.00]_HELPDESK" xfId="134"/>
    <cellStyle name="?? [0]_??" xfId="135"/>
    <cellStyle name="?? 10" xfId="136"/>
    <cellStyle name="?? 11" xfId="137"/>
    <cellStyle name="?? 12" xfId="138"/>
    <cellStyle name="?? 13" xfId="139"/>
    <cellStyle name="?? 14" xfId="140"/>
    <cellStyle name="?? 15" xfId="141"/>
    <cellStyle name="?? 16" xfId="142"/>
    <cellStyle name="?? 17" xfId="143"/>
    <cellStyle name="?? 2" xfId="144"/>
    <cellStyle name="?? 3" xfId="145"/>
    <cellStyle name="?? 4" xfId="146"/>
    <cellStyle name="?? 5" xfId="147"/>
    <cellStyle name="?? 6" xfId="148"/>
    <cellStyle name="?? 7" xfId="149"/>
    <cellStyle name="?? 8" xfId="150"/>
    <cellStyle name="?? 9" xfId="151"/>
    <cellStyle name="???? [0.00]_HELPDESK" xfId="152"/>
    <cellStyle name="?????_VERA" xfId="153"/>
    <cellStyle name="????_GTParentheet" xfId="154"/>
    <cellStyle name="??_?.????" xfId="155"/>
    <cellStyle name="?Q\?1@" xfId="156"/>
    <cellStyle name="?Q\?1@ 2" xfId="157"/>
    <cellStyle name="\" xfId="158"/>
    <cellStyle name="\_bluebirdacdil13" xfId="159"/>
    <cellStyle name="\_data" xfId="160"/>
    <cellStyle name="\_ecomps7w" xfId="161"/>
    <cellStyle name="\_equitycomps8" xfId="162"/>
    <cellStyle name="\_equitycomps9" xfId="163"/>
    <cellStyle name="\_houston Isabel" xfId="164"/>
    <cellStyle name="\_hybrid2" xfId="165"/>
    <cellStyle name="\_ITXCcomps" xfId="166"/>
    <cellStyle name="\_newcomps16" xfId="167"/>
    <cellStyle name="\_ravenpitch3" xfId="168"/>
    <cellStyle name="\_ravenpitch32" xfId="169"/>
    <cellStyle name="_%(SignOnly)" xfId="170"/>
    <cellStyle name="_%(SignOnly)_Raw_financials" xfId="171"/>
    <cellStyle name="_%(SignSpaceOnly)" xfId="172"/>
    <cellStyle name="_%(SignSpaceOnly)_Raw_financials" xfId="173"/>
    <cellStyle name="_9952 formal model(070322)-1" xfId="174"/>
    <cellStyle name="_9952 formal model(070322)-1 2" xfId="175"/>
    <cellStyle name="_x0002__AGRO3 Valuation Model" xfId="176"/>
    <cellStyle name="-_AGRO3 Valuation Model" xfId="177"/>
    <cellStyle name="-_AGRO3 Valuation Model 2" xfId="178"/>
    <cellStyle name="-_AGRO3 Valuation Model_Raw_financials" xfId="179"/>
    <cellStyle name="-_AGRO3 Valuation Model_Raw_financials 2" xfId="180"/>
    <cellStyle name="-_AGRO3-Valuation-Model-backup02dez08" xfId="181"/>
    <cellStyle name="_CABECO Valuation Model_v140a" xfId="182"/>
    <cellStyle name="_Cabernet Valuation Backup" xfId="183"/>
    <cellStyle name="_CFA10" xfId="184"/>
    <cellStyle name="_CFA10 2" xfId="185"/>
    <cellStyle name="_CFA4" xfId="186"/>
    <cellStyle name="_CFA4 2" xfId="187"/>
    <cellStyle name="_Chile WACC" xfId="188"/>
    <cellStyle name="_Comma" xfId="189"/>
    <cellStyle name="_Comma_01 adj for merger plan" xfId="190"/>
    <cellStyle name="_Comma_Ability to Pay Analysis" xfId="191"/>
    <cellStyle name="_Comma_AFL" xfId="192"/>
    <cellStyle name="_Comma_AIZ" xfId="193"/>
    <cellStyle name="_Comma_AIZ04-Quantum2" xfId="194"/>
    <cellStyle name="_Comma_AMP" xfId="195"/>
    <cellStyle name="_Comma_AVP to Mike Casey sep" xfId="196"/>
    <cellStyle name="_Comma_AVP_08" xfId="197"/>
    <cellStyle name="_Comma_bls roic" xfId="198"/>
    <cellStyle name="_Comma_Book1" xfId="199"/>
    <cellStyle name="_Comma_Book3" xfId="200"/>
    <cellStyle name="_Comma_capital expenditures 6-18-02" xfId="201"/>
    <cellStyle name="_Comma_CNO" xfId="202"/>
    <cellStyle name="_Comma_CNO04" xfId="203"/>
    <cellStyle name="_Comma_DCF Alexander Forbes" xfId="204"/>
    <cellStyle name="_Comma_fmbi counties" xfId="205"/>
    <cellStyle name="_Comma_FMBI MBHI Graphs" xfId="206"/>
    <cellStyle name="_Comma_FMBI MBHI Graphs 07102001" xfId="207"/>
    <cellStyle name="_Comma_FMBI MBHI Graphs_7601" xfId="208"/>
    <cellStyle name="_Comma_genworth model" xfId="209"/>
    <cellStyle name="_Comma_Infinity Mill Overview 1-14-08v1" xfId="210"/>
    <cellStyle name="_Comma_Infinity Mill Overview 1-14-08v1_Raw_financials" xfId="211"/>
    <cellStyle name="_Comma_Insurance Brokerage CSC_1Q2002" xfId="212"/>
    <cellStyle name="_Comma_JP_LNC_spread_monitor (2)" xfId="213"/>
    <cellStyle name="_Comma_NFP" xfId="214"/>
    <cellStyle name="_Comma_NFS" xfId="215"/>
    <cellStyle name="_Comma_Overview3" xfId="216"/>
    <cellStyle name="_Comma_phil data" xfId="217"/>
    <cellStyle name="_Comma_Price Performance Charts" xfId="218"/>
    <cellStyle name="_Comma_Quarterly Review by Company" xfId="219"/>
    <cellStyle name="_Comma_Raw_financials" xfId="220"/>
    <cellStyle name="_Comma_Raw_financials_BRF Valuation Model" xfId="221"/>
    <cellStyle name="_Comma_RBOC historicals" xfId="222"/>
    <cellStyle name="_Comma_SFG Data File" xfId="223"/>
    <cellStyle name="_Comma_Sheet1" xfId="224"/>
    <cellStyle name="_Comma_Stock-QTR1 FDS" xfId="225"/>
    <cellStyle name="_Comma_T - new" xfId="226"/>
    <cellStyle name="_Comma_Treasury Method Share Calc" xfId="227"/>
    <cellStyle name="_Comma_Updated Valuation Changes" xfId="228"/>
    <cellStyle name="_Comma_Valuation Graphs" xfId="229"/>
    <cellStyle name="_Comma_xratio - historical mkt val" xfId="230"/>
    <cellStyle name="_Cremer Model" xfId="231"/>
    <cellStyle name="_CSFB MergerCon D-CMS 5 18 02" xfId="232"/>
    <cellStyle name="_Currency" xfId="233"/>
    <cellStyle name="_Currency_01 adj for merger plan" xfId="234"/>
    <cellStyle name="_Currency_Ability to Pay Analysis" xfId="235"/>
    <cellStyle name="_Currency_AFL" xfId="236"/>
    <cellStyle name="_Currency_AIZ" xfId="237"/>
    <cellStyle name="_Currency_AMP" xfId="238"/>
    <cellStyle name="_Currency_AT" xfId="239"/>
    <cellStyle name="_Currency_AVP to Mike Casey sep" xfId="240"/>
    <cellStyle name="_Currency_AVP_08" xfId="241"/>
    <cellStyle name="_Currency_AWE" xfId="242"/>
    <cellStyle name="_Currency_Balance Sheet" xfId="243"/>
    <cellStyle name="_Currency_BHI" xfId="244"/>
    <cellStyle name="_Currency_BLS" xfId="245"/>
    <cellStyle name="_Currency_bls roic" xfId="246"/>
    <cellStyle name="_Currency_Book1" xfId="247"/>
    <cellStyle name="_Currency_Book2" xfId="248"/>
    <cellStyle name="_Currency_Book29" xfId="249"/>
    <cellStyle name="_Currency_Book3" xfId="250"/>
    <cellStyle name="_Currency_Book3_1" xfId="251"/>
    <cellStyle name="_Currency_Book32" xfId="252"/>
    <cellStyle name="_Currency_capital expenditures 6-18-02" xfId="253"/>
    <cellStyle name="_Currency_Cingular" xfId="254"/>
    <cellStyle name="_Currency_CNO" xfId="255"/>
    <cellStyle name="_Currency_DCF Alexander Forbes" xfId="256"/>
    <cellStyle name="_Currency_fmbi counties" xfId="257"/>
    <cellStyle name="_Currency_FMBI MBHI Graphs" xfId="258"/>
    <cellStyle name="_Currency_FMBI MBHI Graphs 07102001" xfId="259"/>
    <cellStyle name="_Currency_FMBI MBHI Graphs_7601" xfId="260"/>
    <cellStyle name="_Currency_FON" xfId="261"/>
    <cellStyle name="_Currency_GNW" xfId="262"/>
    <cellStyle name="_Currency_IBE_Financial Model_2008-05-19_v15_Research" xfId="263"/>
    <cellStyle name="_Currency_IBE_Financial Model_2008-05-19_v15_Research_Raw_financials" xfId="264"/>
    <cellStyle name="_Currency_Infinity Mill Overview 1-14-08v1" xfId="265"/>
    <cellStyle name="_Currency_Insurance Brokerage CSC_1Q2002" xfId="266"/>
    <cellStyle name="_Currency_JP" xfId="267"/>
    <cellStyle name="_Currency_LNC" xfId="268"/>
    <cellStyle name="_Currency_MET" xfId="269"/>
    <cellStyle name="_Currency_MET04" xfId="270"/>
    <cellStyle name="_Currency_NFS" xfId="271"/>
    <cellStyle name="_Currency_NXTL" xfId="272"/>
    <cellStyle name="_Currency_Overview3" xfId="273"/>
    <cellStyle name="_Currency_PCS" xfId="274"/>
    <cellStyle name="_Currency_phil data" xfId="275"/>
    <cellStyle name="_Currency_Price Performance Charts" xfId="276"/>
    <cellStyle name="_Currency_PRU" xfId="277"/>
    <cellStyle name="_Currency_PRU04" xfId="278"/>
    <cellStyle name="_Currency_Quarterly projections" xfId="279"/>
    <cellStyle name="_Currency_Quarterly projections_Raw_financials" xfId="280"/>
    <cellStyle name="_Currency_Raw_financials" xfId="281"/>
    <cellStyle name="_Currency_RBOC historicals" xfId="282"/>
    <cellStyle name="_Currency_RiskReward" xfId="283"/>
    <cellStyle name="_Currency_SFG" xfId="284"/>
    <cellStyle name="_Currency_Sheet1" xfId="285"/>
    <cellStyle name="_Currency_Stock-QTR1 FDS" xfId="286"/>
    <cellStyle name="_Currency_T - new" xfId="287"/>
    <cellStyle name="_Currency_TMK" xfId="288"/>
    <cellStyle name="_Currency_Treasury Method Share Calc" xfId="289"/>
    <cellStyle name="_Currency_Updated Valuation Changes" xfId="290"/>
    <cellStyle name="_Currency_Valuation Graphs" xfId="291"/>
    <cellStyle name="_Currency_VZ" xfId="292"/>
    <cellStyle name="_Currency_VZW" xfId="293"/>
    <cellStyle name="_Currency_xratio - historical mkt val" xfId="294"/>
    <cellStyle name="_CurrencySpace" xfId="295"/>
    <cellStyle name="_CurrencySpace_01 adj for merger plan" xfId="296"/>
    <cellStyle name="_CurrencySpace_Ability to Pay Analysis" xfId="297"/>
    <cellStyle name="_CurrencySpace_AFL" xfId="298"/>
    <cellStyle name="_CurrencySpace_AIZ" xfId="299"/>
    <cellStyle name="_CurrencySpace_AMP" xfId="300"/>
    <cellStyle name="_CurrencySpace_AVP to Mike Casey sep" xfId="301"/>
    <cellStyle name="_CurrencySpace_AVP_08" xfId="302"/>
    <cellStyle name="_CurrencySpace_Balance Sheet" xfId="303"/>
    <cellStyle name="_CurrencySpace_BHI" xfId="304"/>
    <cellStyle name="_CurrencySpace_bls roic" xfId="305"/>
    <cellStyle name="_CurrencySpace_Book1" xfId="306"/>
    <cellStyle name="_CurrencySpace_Book29" xfId="307"/>
    <cellStyle name="_CurrencySpace_Book3" xfId="308"/>
    <cellStyle name="_CurrencySpace_Book3_1" xfId="309"/>
    <cellStyle name="_CurrencySpace_capital expenditures 6-18-02" xfId="310"/>
    <cellStyle name="_CurrencySpace_CNO" xfId="311"/>
    <cellStyle name="_CurrencySpace_DCF Alexander Forbes" xfId="312"/>
    <cellStyle name="_CurrencySpace_fmbi counties" xfId="313"/>
    <cellStyle name="_CurrencySpace_FMBI MBHI Graphs" xfId="314"/>
    <cellStyle name="_CurrencySpace_FMBI MBHI Graphs 07102001" xfId="315"/>
    <cellStyle name="_CurrencySpace_FMBI MBHI Graphs_7601" xfId="316"/>
    <cellStyle name="_CurrencySpace_GNW" xfId="317"/>
    <cellStyle name="_CurrencySpace_Infinity Mill Overview 1-14-08v1" xfId="318"/>
    <cellStyle name="_CurrencySpace_Insurance Brokerage CSC_1Q2002" xfId="319"/>
    <cellStyle name="_CurrencySpace_JP" xfId="320"/>
    <cellStyle name="_CurrencySpace_LNC" xfId="321"/>
    <cellStyle name="_CurrencySpace_MET" xfId="322"/>
    <cellStyle name="_CurrencySpace_MET04" xfId="323"/>
    <cellStyle name="_CurrencySpace_NFS" xfId="324"/>
    <cellStyle name="_CurrencySpace_Overview3" xfId="325"/>
    <cellStyle name="_CurrencySpace_phil data" xfId="326"/>
    <cellStyle name="_CurrencySpace_Price Performance Charts" xfId="327"/>
    <cellStyle name="_CurrencySpace_PRU" xfId="328"/>
    <cellStyle name="_CurrencySpace_PRU04" xfId="329"/>
    <cellStyle name="_CurrencySpace_RBOC historicals" xfId="330"/>
    <cellStyle name="_CurrencySpace_RiskReward" xfId="331"/>
    <cellStyle name="_CurrencySpace_SFG" xfId="332"/>
    <cellStyle name="_CurrencySpace_Sheet1" xfId="333"/>
    <cellStyle name="_CurrencySpace_Stock-QTR1 FDS" xfId="334"/>
    <cellStyle name="_CurrencySpace_T - new" xfId="335"/>
    <cellStyle name="_CurrencySpace_TMK" xfId="336"/>
    <cellStyle name="_CurrencySpace_Treasury Method Share Calc" xfId="337"/>
    <cellStyle name="_CurrencySpace_Updated Valuation Changes" xfId="338"/>
    <cellStyle name="_CurrencySpace_Valuation Graphs" xfId="339"/>
    <cellStyle name="_CurrencySpace_xratio - historical mkt val" xfId="340"/>
    <cellStyle name="_DA" xfId="341"/>
    <cellStyle name="_DCF" xfId="342"/>
    <cellStyle name="_Distribution" xfId="343"/>
    <cellStyle name="_Dollar" xfId="344"/>
    <cellStyle name="_DPA" xfId="345"/>
    <cellStyle name="_Entel Chile Materials" xfId="346"/>
    <cellStyle name="_EPS" xfId="347"/>
    <cellStyle name="_EPS 2" xfId="348"/>
    <cellStyle name="_EPS1" xfId="349"/>
    <cellStyle name="_EPS1 2" xfId="350"/>
    <cellStyle name="_Euro" xfId="351"/>
    <cellStyle name="_Euro_Request Template" xfId="352"/>
    <cellStyle name="_x0002__FFTL4 Valuation Model" xfId="353"/>
    <cellStyle name="-_FFTL4 Valuation Model" xfId="354"/>
    <cellStyle name="_x0002__Forecast results" xfId="355"/>
    <cellStyle name="_x0002__Forecast results 2" xfId="356"/>
    <cellStyle name="_FSA - ME - FINAL (2)1" xfId="357"/>
    <cellStyle name="_FSA - ME - FINAL (2)1 2" xfId="358"/>
    <cellStyle name="_GAM Consolidated Model for Infinity v3 (6)" xfId="359"/>
    <cellStyle name="_GAM WACC_v3" xfId="360"/>
    <cellStyle name="_Heading" xfId="361"/>
    <cellStyle name="_Heading_BLS" xfId="362"/>
    <cellStyle name="_Heading_bls roic" xfId="363"/>
    <cellStyle name="_Heading_Book9" xfId="364"/>
    <cellStyle name="_Heading_Broadband Comps" xfId="365"/>
    <cellStyle name="_Heading_capital expenditures 6-18-02" xfId="366"/>
    <cellStyle name="_Heading_CTCO" xfId="367"/>
    <cellStyle name="_Heading_Infinity Mill Overview 1-14-08v1" xfId="368"/>
    <cellStyle name="_Heading_Infinity Mill Overview 1-14-08v1 2" xfId="369"/>
    <cellStyle name="_Heading_prestemp" xfId="370"/>
    <cellStyle name="_Heading_Q" xfId="371"/>
    <cellStyle name="_Heading_q - new guidance" xfId="372"/>
    <cellStyle name="_Heading_q - valuation" xfId="373"/>
    <cellStyle name="_Heading_Q model_041802" xfId="374"/>
    <cellStyle name="_Heading_Q_update" xfId="375"/>
    <cellStyle name="_Heading_Qwest Analysis" xfId="376"/>
    <cellStyle name="_Heading_RBOC historicals" xfId="377"/>
    <cellStyle name="_Heading_T - new" xfId="378"/>
    <cellStyle name="_Heading_VZ" xfId="379"/>
    <cellStyle name="_Heading_WACC Model for TTS" xfId="380"/>
    <cellStyle name="_Heading_WACC Model for TTS 2" xfId="381"/>
    <cellStyle name="_Highlight" xfId="382"/>
    <cellStyle name="-_INFOTRIM032001" xfId="383"/>
    <cellStyle name="-_INFOTRIM032001 2" xfId="384"/>
    <cellStyle name="_IV6" xfId="385"/>
    <cellStyle name="_IV6 2" xfId="386"/>
    <cellStyle name="_JapaneseCatalog" xfId="387"/>
    <cellStyle name="_JV Model2" xfId="388"/>
    <cellStyle name="_LatAm Beer Comps.v6" xfId="389"/>
    <cellStyle name="_LatAm Beer Comps.v6_2. TRS Decomposition" xfId="390"/>
    <cellStyle name="_LatAm Beer Comps.v6_PRGA Model with TRS Decomposition" xfId="391"/>
    <cellStyle name="_LatAm Beer Comps.v6_Raw_financials" xfId="392"/>
    <cellStyle name="_Macrodata_Brasil_new" xfId="393"/>
    <cellStyle name="_Magnesita Model 2" xfId="394"/>
    <cellStyle name="_Magnesita Model 2 2" xfId="395"/>
    <cellStyle name="_Metrics1" xfId="396"/>
    <cellStyle name="_Metrics1 2" xfId="397"/>
    <cellStyle name="_Metrics11" xfId="398"/>
    <cellStyle name="_Metrics11 2" xfId="399"/>
    <cellStyle name="_Metrics13" xfId="400"/>
    <cellStyle name="_Metrics13 2" xfId="401"/>
    <cellStyle name="_Metrics3" xfId="402"/>
    <cellStyle name="_Metrics3 2" xfId="403"/>
    <cellStyle name="_Metrics5" xfId="404"/>
    <cellStyle name="_Metrics5 2" xfId="405"/>
    <cellStyle name="_Metrics7" xfId="406"/>
    <cellStyle name="_Metrics7 2" xfId="407"/>
    <cellStyle name="_Metrics9" xfId="408"/>
    <cellStyle name="_Metrics9 2" xfId="409"/>
    <cellStyle name="_Modelware" xfId="410"/>
    <cellStyle name="_Modelware 2" xfId="411"/>
    <cellStyle name="_msft-dcf" xfId="412"/>
    <cellStyle name="_Multiple" xfId="413"/>
    <cellStyle name="_Multiple_01 adj for merger plan" xfId="414"/>
    <cellStyle name="_Multiple_Ability to Pay Analysis" xfId="415"/>
    <cellStyle name="_Multiple_AFL" xfId="416"/>
    <cellStyle name="_Multiple_AIZ" xfId="417"/>
    <cellStyle name="_Multiple_AMP" xfId="418"/>
    <cellStyle name="_Multiple_AVP to Mike Casey sep" xfId="419"/>
    <cellStyle name="_Multiple_AVP_08" xfId="420"/>
    <cellStyle name="_Multiple_Balance Sheet" xfId="421"/>
    <cellStyle name="_Multiple_BHI" xfId="422"/>
    <cellStyle name="_Multiple_bls roic" xfId="423"/>
    <cellStyle name="_Multiple_Book1" xfId="424"/>
    <cellStyle name="_Multiple_Book29" xfId="425"/>
    <cellStyle name="_Multiple_Book3" xfId="426"/>
    <cellStyle name="_Multiple_Book3_1" xfId="427"/>
    <cellStyle name="_Multiple_capital expenditures 6-18-02" xfId="428"/>
    <cellStyle name="_Multiple_CNO" xfId="429"/>
    <cellStyle name="_Multiple_DCF Alexander Forbes" xfId="430"/>
    <cellStyle name="_Multiple_fmbi counties" xfId="431"/>
    <cellStyle name="_Multiple_FMBI MBHI Graphs" xfId="432"/>
    <cellStyle name="_Multiple_FMBI MBHI Graphs 07102001" xfId="433"/>
    <cellStyle name="_Multiple_FMBI MBHI Graphs_7601" xfId="434"/>
    <cellStyle name="_Multiple_GNW" xfId="435"/>
    <cellStyle name="_Multiple_Infinity Mill Overview 1-14-08v1" xfId="436"/>
    <cellStyle name="_Multiple_Insurance Brokerage CSC_1Q2002" xfId="437"/>
    <cellStyle name="_Multiple_JP" xfId="438"/>
    <cellStyle name="_Multiple_LNC" xfId="439"/>
    <cellStyle name="_Multiple_MET" xfId="440"/>
    <cellStyle name="_Multiple_MET04" xfId="441"/>
    <cellStyle name="_Multiple_NFS" xfId="442"/>
    <cellStyle name="_Multiple_Overview3" xfId="443"/>
    <cellStyle name="_Multiple_phil data" xfId="444"/>
    <cellStyle name="_Multiple_Price Performance Charts" xfId="445"/>
    <cellStyle name="_Multiple_PRU" xfId="446"/>
    <cellStyle name="_Multiple_PRU04" xfId="447"/>
    <cellStyle name="_Multiple_Raw_financials" xfId="448"/>
    <cellStyle name="_Multiple_RBOC historicals" xfId="449"/>
    <cellStyle name="_Multiple_RiskReward" xfId="450"/>
    <cellStyle name="_Multiple_SFG" xfId="451"/>
    <cellStyle name="_Multiple_Sheet1" xfId="452"/>
    <cellStyle name="_Multiple_Stock-QTR1 FDS" xfId="453"/>
    <cellStyle name="_Multiple_T - new" xfId="454"/>
    <cellStyle name="_Multiple_TMK" xfId="455"/>
    <cellStyle name="_Multiple_Treasury Method Share Calc" xfId="456"/>
    <cellStyle name="_Multiple_Updated Valuation Changes" xfId="457"/>
    <cellStyle name="_Multiple_Valuation Graphs" xfId="458"/>
    <cellStyle name="_Multiple_xratio - historical mkt val" xfId="459"/>
    <cellStyle name="_MultipleSpace" xfId="460"/>
    <cellStyle name="_MultipleSpace_01 adj for merger plan" xfId="461"/>
    <cellStyle name="_MultipleSpace_Ability to Pay Analysis" xfId="462"/>
    <cellStyle name="_MultipleSpace_AFL" xfId="463"/>
    <cellStyle name="_MultipleSpace_AIZ" xfId="464"/>
    <cellStyle name="_MultipleSpace_AMP" xfId="465"/>
    <cellStyle name="_MultipleSpace_AVP to Mike Casey sep" xfId="466"/>
    <cellStyle name="_MultipleSpace_AVP_08" xfId="467"/>
    <cellStyle name="_MultipleSpace_Balance Sheet" xfId="468"/>
    <cellStyle name="_MultipleSpace_BHI" xfId="469"/>
    <cellStyle name="_MultipleSpace_bls roic" xfId="470"/>
    <cellStyle name="_MultipleSpace_Book1" xfId="471"/>
    <cellStyle name="_MultipleSpace_Book29" xfId="472"/>
    <cellStyle name="_MultipleSpace_Book3" xfId="473"/>
    <cellStyle name="_MultipleSpace_Book3_1" xfId="474"/>
    <cellStyle name="_MultipleSpace_capital expenditures 6-18-02" xfId="475"/>
    <cellStyle name="_MultipleSpace_CNO" xfId="476"/>
    <cellStyle name="_MultipleSpace_DCF Alexander Forbes" xfId="477"/>
    <cellStyle name="_MultipleSpace_fmbi counties" xfId="478"/>
    <cellStyle name="_MultipleSpace_FMBI MBHI Graphs" xfId="479"/>
    <cellStyle name="_MultipleSpace_FMBI MBHI Graphs 07102001" xfId="480"/>
    <cellStyle name="_MultipleSpace_FMBI MBHI Graphs_7601" xfId="481"/>
    <cellStyle name="_MultipleSpace_GNW" xfId="482"/>
    <cellStyle name="_MultipleSpace_Infinity Mill Overview 1-14-08v1" xfId="483"/>
    <cellStyle name="_MultipleSpace_Insurance Brokerage CSC_1Q2002" xfId="484"/>
    <cellStyle name="_MultipleSpace_JP" xfId="485"/>
    <cellStyle name="_MultipleSpace_LNC" xfId="486"/>
    <cellStyle name="_MultipleSpace_MET" xfId="487"/>
    <cellStyle name="_MultipleSpace_MET04" xfId="488"/>
    <cellStyle name="_MultipleSpace_NFS" xfId="489"/>
    <cellStyle name="_MultipleSpace_Overview3" xfId="490"/>
    <cellStyle name="_MultipleSpace_phil data" xfId="491"/>
    <cellStyle name="_MultipleSpace_Price Performance Charts" xfId="492"/>
    <cellStyle name="_MultipleSpace_PRU" xfId="493"/>
    <cellStyle name="_MultipleSpace_PRU04" xfId="494"/>
    <cellStyle name="_MultipleSpace_Raw_financials" xfId="495"/>
    <cellStyle name="_MultipleSpace_RBOC historicals" xfId="496"/>
    <cellStyle name="_MultipleSpace_RiskReward" xfId="497"/>
    <cellStyle name="_MultipleSpace_SFG" xfId="498"/>
    <cellStyle name="_MultipleSpace_Sheet1" xfId="499"/>
    <cellStyle name="_MultipleSpace_Stock-QTR1 FDS" xfId="500"/>
    <cellStyle name="_MultipleSpace_T - new" xfId="501"/>
    <cellStyle name="_MultipleSpace_TMK" xfId="502"/>
    <cellStyle name="_MultipleSpace_Treasury Method Share Calc" xfId="503"/>
    <cellStyle name="_MultipleSpace_Updated Valuation Changes" xfId="504"/>
    <cellStyle name="_MultipleSpace_Valuation Graphs" xfId="505"/>
    <cellStyle name="_MultipleSpace_xratio - historical mkt val" xfId="506"/>
    <cellStyle name="_MW FDS" xfId="507"/>
    <cellStyle name="_MW_CFA" xfId="508"/>
    <cellStyle name="_MW_CFA 2" xfId="509"/>
    <cellStyle name="_MWA RR" xfId="510"/>
    <cellStyle name="_MWAnalytics" xfId="511"/>
    <cellStyle name="_MWAnalytics 2" xfId="512"/>
    <cellStyle name="_MWAnalytics_1" xfId="513"/>
    <cellStyle name="_MWAnalytics_1_AESA_WIP_ANAtest" xfId="514"/>
    <cellStyle name="_MWAnalytics_1_Estacio_Oficial_ANA_outsource_test" xfId="515"/>
    <cellStyle name="_MWAnalytics_1_Estacio_Oficial_ANA_outsource_test_2" xfId="516"/>
    <cellStyle name="_MWAnalytics_1_WORKING_prjcsmg2007_new" xfId="517"/>
    <cellStyle name="_MWAnalytics_v2" xfId="518"/>
    <cellStyle name="_MWAnalytics_v2 2" xfId="519"/>
    <cellStyle name="_oil" xfId="520"/>
    <cellStyle name="_oil 2" xfId="521"/>
    <cellStyle name="_Oil Curve" xfId="522"/>
    <cellStyle name="_Parm - valuation modeAUG4 ver4" xfId="523"/>
    <cellStyle name="_Percent" xfId="524"/>
    <cellStyle name="_Percent_BHI" xfId="525"/>
    <cellStyle name="_Percent_DCF Alexander Forbes" xfId="526"/>
    <cellStyle name="_Percent_FMBI MBHI Graphs" xfId="527"/>
    <cellStyle name="_Percent_FMBI MBHI Graphs 07102001" xfId="528"/>
    <cellStyle name="_Percent_FMBI MBHI Graphs_7601" xfId="529"/>
    <cellStyle name="_Percent_Raw_financials" xfId="530"/>
    <cellStyle name="_PercentSpace" xfId="531"/>
    <cellStyle name="_PercentSpace_01 adj for merger plan" xfId="532"/>
    <cellStyle name="_PercentSpace_BHI" xfId="533"/>
    <cellStyle name="_PercentSpace_DCF Alexander Forbes" xfId="534"/>
    <cellStyle name="_PercentSpace_FMBI MBHI Graphs" xfId="535"/>
    <cellStyle name="_PercentSpace_FMBI MBHI Graphs 07102001" xfId="536"/>
    <cellStyle name="_PercentSpace_FMBI MBHI Graphs_7601" xfId="537"/>
    <cellStyle name="_PercentSpace_Raw_financials" xfId="538"/>
    <cellStyle name="_Petrobras" xfId="539"/>
    <cellStyle name="_Project Sophie Valuation V72" xfId="540"/>
    <cellStyle name="_Puma Valuation v116" xfId="541"/>
    <cellStyle name="_Puma Valuation v117" xfId="542"/>
    <cellStyle name="_Rating Agency Analysis v2" xfId="543"/>
    <cellStyle name="_Rating Agency Analysis v2_2. TRS Decomposition" xfId="544"/>
    <cellStyle name="_Rating Agency Analysis v2_PRGA Model with TRS Decomposition" xfId="545"/>
    <cellStyle name="_Rating Agency Analysis v2_Raw_financials" xfId="546"/>
    <cellStyle name="_ROE2" xfId="547"/>
    <cellStyle name="_ROE2 2" xfId="548"/>
    <cellStyle name="_ROE4" xfId="549"/>
    <cellStyle name="_ROE4 2" xfId="550"/>
    <cellStyle name="_ROE8" xfId="551"/>
    <cellStyle name="_ROE8 2" xfId="552"/>
    <cellStyle name="_RRS1" xfId="553"/>
    <cellStyle name="_RRS1_AGRO3 Valuation Model" xfId="554"/>
    <cellStyle name="_RRS1_AGRO3 Valuation Model 2" xfId="555"/>
    <cellStyle name="_RRS1_AGRO3-Valuation-Model-backup 211208" xfId="556"/>
    <cellStyle name="_RRS1_Drogasil Model" xfId="557"/>
    <cellStyle name="_RRS1_Drogasil Model 2" xfId="558"/>
    <cellStyle name="_RRS1_FFTL4 Valuation Model" xfId="559"/>
    <cellStyle name="_RRS1_SLCE3 Valuation Model" xfId="560"/>
    <cellStyle name="_RRS1_SLCE3 Valuation Model 2" xfId="561"/>
    <cellStyle name="_RRS1_Valuation Anhanguera " xfId="562"/>
    <cellStyle name="_RRS1_Valuation Anhanguera  2" xfId="563"/>
    <cellStyle name="_RRS10" xfId="564"/>
    <cellStyle name="_RRS10 2" xfId="565"/>
    <cellStyle name="_RRS10_1" xfId="566"/>
    <cellStyle name="_RRS11" xfId="567"/>
    <cellStyle name="_RRS11 2" xfId="568"/>
    <cellStyle name="_RRS12" xfId="569"/>
    <cellStyle name="_RRS12 2" xfId="570"/>
    <cellStyle name="_RRS13" xfId="571"/>
    <cellStyle name="_RRS14" xfId="572"/>
    <cellStyle name="_RRS14 2" xfId="573"/>
    <cellStyle name="_RRS16" xfId="574"/>
    <cellStyle name="_RRS16 2" xfId="575"/>
    <cellStyle name="_RRS17" xfId="576"/>
    <cellStyle name="_RRS17 2" xfId="577"/>
    <cellStyle name="_RRS21" xfId="578"/>
    <cellStyle name="_RRS21_AGRO3-Valuation-Model-backup02dez08" xfId="579"/>
    <cellStyle name="_RRS21_AGRO3-Valuation-Model-backup02dez08 2" xfId="580"/>
    <cellStyle name="_RRS21_Drogasil Model" xfId="581"/>
    <cellStyle name="_RRS21_Drogasil Model 2" xfId="582"/>
    <cellStyle name="_RRS21_Valuation Anhanguera " xfId="583"/>
    <cellStyle name="_RRS21_Valuation Anhanguera  2" xfId="584"/>
    <cellStyle name="_RRS25" xfId="585"/>
    <cellStyle name="_RRS25 2" xfId="586"/>
    <cellStyle name="_RRS28" xfId="587"/>
    <cellStyle name="_RRS33" xfId="588"/>
    <cellStyle name="_RRS33 2" xfId="589"/>
    <cellStyle name="_RRS37" xfId="590"/>
    <cellStyle name="_RRS38" xfId="591"/>
    <cellStyle name="_RRS38 2" xfId="592"/>
    <cellStyle name="_RRS4" xfId="593"/>
    <cellStyle name="_RRS4 2" xfId="594"/>
    <cellStyle name="_RRS5" xfId="595"/>
    <cellStyle name="_RRS5 2" xfId="596"/>
    <cellStyle name="_RRS6" xfId="597"/>
    <cellStyle name="_RRS6 2" xfId="598"/>
    <cellStyle name="_RRS7" xfId="599"/>
    <cellStyle name="_RRS7 2" xfId="600"/>
    <cellStyle name="_Semco Model 5-03-03_v2" xfId="601"/>
    <cellStyle name="_Semco Model 5-03-03_v21" xfId="602"/>
    <cellStyle name="_Semco Model 7-21-03" xfId="603"/>
    <cellStyle name="_Semco Model 7-21-03_2. TRS Decomposition" xfId="604"/>
    <cellStyle name="_Semco Model 7-21-03_PRGA Model with TRS Decomposition" xfId="605"/>
    <cellStyle name="_Semco Model 7-21-03_Raw_financials" xfId="606"/>
    <cellStyle name="_Semco Model 8-11-03" xfId="607"/>
    <cellStyle name="_ShtReferance" xfId="608"/>
    <cellStyle name="_ShtReferance_AESA_WIP_ANAtest" xfId="609"/>
    <cellStyle name="_ShtReferance_Estacio_Oficial_ANA_outsource_test" xfId="610"/>
    <cellStyle name="_ShtReferance_Estacio_Oficial_ANA_outsource_test_2" xfId="611"/>
    <cellStyle name="_ShtReferance_WORKING_prjcsmg2007_new" xfId="612"/>
    <cellStyle name="_x0002__SLCE3 Valuation Model" xfId="613"/>
    <cellStyle name="-_SLCE3 Valuation Model" xfId="614"/>
    <cellStyle name="_x0002__SLCE3 Valuation Model 10" xfId="615"/>
    <cellStyle name="-_SLCE3 Valuation Model 10" xfId="616"/>
    <cellStyle name="_x0002__SLCE3 Valuation Model 11" xfId="617"/>
    <cellStyle name="-_SLCE3 Valuation Model 11" xfId="618"/>
    <cellStyle name="_x0002__SLCE3 Valuation Model 12" xfId="619"/>
    <cellStyle name="-_SLCE3 Valuation Model 12" xfId="620"/>
    <cellStyle name="_x0002__SLCE3 Valuation Model 13" xfId="621"/>
    <cellStyle name="-_SLCE3 Valuation Model 13" xfId="622"/>
    <cellStyle name="_x0002__SLCE3 Valuation Model 14" xfId="623"/>
    <cellStyle name="-_SLCE3 Valuation Model 14" xfId="624"/>
    <cellStyle name="_x0002__SLCE3 Valuation Model 15" xfId="625"/>
    <cellStyle name="-_SLCE3 Valuation Model 15" xfId="626"/>
    <cellStyle name="_x0002__SLCE3 Valuation Model 16" xfId="627"/>
    <cellStyle name="-_SLCE3 Valuation Model 16" xfId="628"/>
    <cellStyle name="_x0002__SLCE3 Valuation Model 17" xfId="629"/>
    <cellStyle name="-_SLCE3 Valuation Model 17" xfId="630"/>
    <cellStyle name="_x0002__SLCE3 Valuation Model 2" xfId="631"/>
    <cellStyle name="-_SLCE3 Valuation Model 2" xfId="632"/>
    <cellStyle name="_x0002__SLCE3 Valuation Model 3" xfId="633"/>
    <cellStyle name="-_SLCE3 Valuation Model 3" xfId="634"/>
    <cellStyle name="_x0002__SLCE3 Valuation Model 4" xfId="635"/>
    <cellStyle name="-_SLCE3 Valuation Model 4" xfId="636"/>
    <cellStyle name="_x0002__SLCE3 Valuation Model 5" xfId="637"/>
    <cellStyle name="-_SLCE3 Valuation Model 5" xfId="638"/>
    <cellStyle name="_x0002__SLCE3 Valuation Model 6" xfId="639"/>
    <cellStyle name="-_SLCE3 Valuation Model 6" xfId="640"/>
    <cellStyle name="_x0002__SLCE3 Valuation Model 7" xfId="641"/>
    <cellStyle name="-_SLCE3 Valuation Model 7" xfId="642"/>
    <cellStyle name="_x0002__SLCE3 Valuation Model 8" xfId="643"/>
    <cellStyle name="-_SLCE3 Valuation Model 8" xfId="644"/>
    <cellStyle name="_x0002__SLCE3 Valuation Model 9" xfId="645"/>
    <cellStyle name="-_SLCE3 Valuation Model 9" xfId="646"/>
    <cellStyle name="-_SLCE3 Valuation Model_Raw_financials" xfId="647"/>
    <cellStyle name="-_SLCE3 Valuation Model_Raw_financials 2" xfId="648"/>
    <cellStyle name="_SubHeading" xfId="649"/>
    <cellStyle name="_SubHeading_Ability to Pay Analysis" xfId="650"/>
    <cellStyle name="_SubHeading_BankUnited Model" xfId="651"/>
    <cellStyle name="_SubHeading_BLS" xfId="652"/>
    <cellStyle name="_SubHeading_bls roic" xfId="653"/>
    <cellStyle name="_SubHeading_Book9" xfId="654"/>
    <cellStyle name="_SubHeading_Broadband Comps" xfId="655"/>
    <cellStyle name="_SubHeading_capital expenditures 6-18-02" xfId="656"/>
    <cellStyle name="_SubHeading_CTCO" xfId="657"/>
    <cellStyle name="_SubHeading_fmbi counties" xfId="658"/>
    <cellStyle name="_SubHeading_FMBI MBHI Graphs" xfId="659"/>
    <cellStyle name="_SubHeading_FMBI MBHI Graphs 07102001" xfId="660"/>
    <cellStyle name="_SubHeading_FMBI MBHI Graphs_7601" xfId="661"/>
    <cellStyle name="_SubHeading_Infinity Mill Overview 1-14-08v1" xfId="662"/>
    <cellStyle name="_SubHeading_Infinity Mill Overview 1-14-08v1 2" xfId="663"/>
    <cellStyle name="_SubHeading_prestemp" xfId="664"/>
    <cellStyle name="_SubHeading_prestemp_Insurance Brokerage CSC_1Q2002" xfId="665"/>
    <cellStyle name="_SubHeading_prestemp_Overview3" xfId="666"/>
    <cellStyle name="_SubHeading_prestemp_Updated Valuation Changes" xfId="667"/>
    <cellStyle name="_SubHeading_Q" xfId="668"/>
    <cellStyle name="_SubHeading_q - new guidance" xfId="669"/>
    <cellStyle name="_SubHeading_q - valuation" xfId="670"/>
    <cellStyle name="_SubHeading_Q model_041802" xfId="671"/>
    <cellStyle name="_SubHeading_Q_update" xfId="672"/>
    <cellStyle name="_SubHeading_Qwest Analysis" xfId="673"/>
    <cellStyle name="_SubHeading_RBOC historicals" xfId="674"/>
    <cellStyle name="_SubHeading_T - new" xfId="675"/>
    <cellStyle name="_SubHeading_VZ" xfId="676"/>
    <cellStyle name="_SubHeading_WACC Model for TTS" xfId="677"/>
    <cellStyle name="_SubHeading_WACC Model for TTS 2" xfId="678"/>
    <cellStyle name="_SubHeading_xratio - historical mkt val" xfId="679"/>
    <cellStyle name="_Subo" xfId="680"/>
    <cellStyle name="_Subo_AESA_WIP_ANAtest" xfId="681"/>
    <cellStyle name="_Subo_Estacio_Oficial_ANA_outsource_test" xfId="682"/>
    <cellStyle name="_Subo_Estacio_Oficial_ANA_outsource_test_2" xfId="683"/>
    <cellStyle name="_Subo_Prjcmi2006" xfId="684"/>
    <cellStyle name="_Subo_Prjcmi2006_Estacio_Oficial_ANA_outsource_test" xfId="685"/>
    <cellStyle name="_Subo_Prjcmi2006_SEB_Oficial_ANA_outsource_test" xfId="686"/>
    <cellStyle name="_Subo_Prjcmi2006_SEB_Oficial_ANA_outsource_test 2" xfId="687"/>
    <cellStyle name="_Subo_Prjcmi2007_SOTP_new" xfId="688"/>
    <cellStyle name="_Subo_Prjcmi2007_SOTP_new_Estacio_Oficial_ANA_outsource_test" xfId="689"/>
    <cellStyle name="_Subo_Prjcmi2007_SOTP_new_SEB_Oficial_ANA_outsource_test" xfId="690"/>
    <cellStyle name="_Subo_Prjcmi2007_SOTP_new_SEB_Oficial_ANA_outsource_test 2" xfId="691"/>
    <cellStyle name="_Subo_prjcpl2007_SOTP_new" xfId="692"/>
    <cellStyle name="_Subo_prjcpl2007_SOTP_new_Estacio_Oficial_ANA_outsource_test" xfId="693"/>
    <cellStyle name="_Subo_prjcpl2007_SOTP_new_SEB_Oficial_ANA_outsource_test" xfId="694"/>
    <cellStyle name="_Subo_prjcpl2007_SOTP_new_SEB_Oficial_ANA_outsource_test 2" xfId="695"/>
    <cellStyle name="_Subo_prjele2007_new" xfId="696"/>
    <cellStyle name="_Subo_prjget2005" xfId="697"/>
    <cellStyle name="_Subo_prjget2007" xfId="698"/>
    <cellStyle name="_Subo_prjtbl2005" xfId="699"/>
    <cellStyle name="_Subo_SEB_Oficial_ANA_outsource_test" xfId="700"/>
    <cellStyle name="_Subo_SEB_Oficial_ANA_outsource_test 2" xfId="701"/>
    <cellStyle name="_Subo_WORKING Prjcmi2007_SOTP_new" xfId="702"/>
    <cellStyle name="_Subo_WORKING Prjcmi2007_SOTP_new_Estacio_Oficial_ANA_outsource_test" xfId="703"/>
    <cellStyle name="_Subo_WORKING Prjcmi2007_SOTP_new_SEB_Oficial_ANA_outsource_test" xfId="704"/>
    <cellStyle name="_Subo_WORKING Prjcmi2007_SOTP_new_SEB_Oficial_ANA_outsource_test 2" xfId="705"/>
    <cellStyle name="_Subo_WORKING prjcsp2007_new" xfId="706"/>
    <cellStyle name="_Subo_WORKING prjedp2007_new" xfId="707"/>
    <cellStyle name="_Subo_WORKING prjedp2007_new_Estacio_Oficial_ANA_outsource_test" xfId="708"/>
    <cellStyle name="_Subo_WORKING prjedp2007_new_SEB_Oficial_ANA_outsource_test" xfId="709"/>
    <cellStyle name="_Subo_WORKING prjedp2007_new_SEB_Oficial_ANA_outsource_test 2" xfId="710"/>
    <cellStyle name="_Subo_WORKING PRJelp2007_new" xfId="711"/>
    <cellStyle name="_Subo_WORKING prjeqt2007_new" xfId="712"/>
    <cellStyle name="_Subo_WORKING prjget2007_new" xfId="713"/>
    <cellStyle name="_Subo_WORKING prjget42007_new" xfId="714"/>
    <cellStyle name="_Subo_WORKING prjtbl2007_new" xfId="715"/>
    <cellStyle name="_Subo_WORKING_prjcsmg2007_new" xfId="716"/>
    <cellStyle name="_Sugar Sector Compaqs_v9" xfId="717"/>
    <cellStyle name="_SUMMARY " xfId="718"/>
    <cellStyle name="_Summary_Land" xfId="719"/>
    <cellStyle name="_SY Earnings(Labor cost)" xfId="720"/>
    <cellStyle name="_SY Earnings(Labor cost) 2" xfId="721"/>
    <cellStyle name="_TA Case" xfId="722"/>
    <cellStyle name="_Table" xfId="723"/>
    <cellStyle name="_Table_Ability to Pay Analysis" xfId="724"/>
    <cellStyle name="_Table_BankUnited Model" xfId="725"/>
    <cellStyle name="_Table_BLS" xfId="726"/>
    <cellStyle name="_Table_bls roic" xfId="727"/>
    <cellStyle name="_Table_Book9" xfId="728"/>
    <cellStyle name="_Table_Broadband Comps" xfId="729"/>
    <cellStyle name="_Table_capital expenditures 6-18-02" xfId="730"/>
    <cellStyle name="_Table_CTCO" xfId="731"/>
    <cellStyle name="_Table_fmbi counties" xfId="732"/>
    <cellStyle name="_Table_Infinity Mill Overview 1-14-08v1" xfId="733"/>
    <cellStyle name="_Table_Infinity Mill Overview 1-14-08v1 2" xfId="734"/>
    <cellStyle name="_Table_Q" xfId="735"/>
    <cellStyle name="_Table_q - new guidance" xfId="736"/>
    <cellStyle name="_Table_q - valuation" xfId="737"/>
    <cellStyle name="_Table_Q model_041802" xfId="738"/>
    <cellStyle name="_Table_Q_update" xfId="739"/>
    <cellStyle name="_Table_Qwest Analysis" xfId="740"/>
    <cellStyle name="_Table_RBOC historicals" xfId="741"/>
    <cellStyle name="_Table_T - new" xfId="742"/>
    <cellStyle name="_Table_VZ" xfId="743"/>
    <cellStyle name="_Table_xratio - historical mkt val" xfId="744"/>
    <cellStyle name="_TableHead" xfId="745"/>
    <cellStyle name="_TableHead 2" xfId="746"/>
    <cellStyle name="_TableHead 3" xfId="747"/>
    <cellStyle name="_TableHead 4" xfId="748"/>
    <cellStyle name="_TableHead_BLS" xfId="749"/>
    <cellStyle name="_TableHead_BLS 2" xfId="750"/>
    <cellStyle name="_TableHead_BLS 3" xfId="751"/>
    <cellStyle name="_TableHead_BLS 4" xfId="752"/>
    <cellStyle name="_TableHead_bls roic" xfId="753"/>
    <cellStyle name="_TableHead_bls roic 2" xfId="754"/>
    <cellStyle name="_TableHead_bls roic 3" xfId="755"/>
    <cellStyle name="_TableHead_bls roic 4" xfId="756"/>
    <cellStyle name="_TableHead_Book9" xfId="757"/>
    <cellStyle name="_TableHead_Book9 2" xfId="758"/>
    <cellStyle name="_TableHead_Book9 3" xfId="759"/>
    <cellStyle name="_TableHead_Book9 4" xfId="760"/>
    <cellStyle name="_TableHead_Broadband Comps" xfId="761"/>
    <cellStyle name="_TableHead_Broadband Comps 2" xfId="762"/>
    <cellStyle name="_TableHead_Broadband Comps 3" xfId="763"/>
    <cellStyle name="_TableHead_Broadband Comps 4" xfId="764"/>
    <cellStyle name="_TableHead_capital expenditures 6-18-02" xfId="765"/>
    <cellStyle name="_TableHead_capital expenditures 6-18-02 2" xfId="766"/>
    <cellStyle name="_TableHead_capital expenditures 6-18-02 3" xfId="767"/>
    <cellStyle name="_TableHead_capital expenditures 6-18-02 4" xfId="768"/>
    <cellStyle name="_TableHead_CTCO" xfId="769"/>
    <cellStyle name="_TableHead_CTCO 2" xfId="770"/>
    <cellStyle name="_TableHead_CTCO 3" xfId="771"/>
    <cellStyle name="_TableHead_CTCO 4" xfId="772"/>
    <cellStyle name="_TableHead_Infinity Mill Overview 1-14-08v1" xfId="773"/>
    <cellStyle name="_TableHead_Infinity Mill Overview 1-14-08v1 2" xfId="774"/>
    <cellStyle name="_TableHead_Infinity Mill Overview 1-14-08v1 2 2" xfId="775"/>
    <cellStyle name="_TableHead_Infinity Mill Overview 1-14-08v1 2 3" xfId="776"/>
    <cellStyle name="_TableHead_Infinity Mill Overview 1-14-08v1 2 4" xfId="777"/>
    <cellStyle name="_TableHead_Infinity Mill Overview 1-14-08v1 3" xfId="778"/>
    <cellStyle name="_TableHead_Infinity Mill Overview 1-14-08v1 4" xfId="779"/>
    <cellStyle name="_TableHead_Infinity Mill Overview 1-14-08v1 5" xfId="780"/>
    <cellStyle name="_TableHead_Q" xfId="781"/>
    <cellStyle name="_TableHead_q - new guidance" xfId="782"/>
    <cellStyle name="_TableHead_q - new guidance 2" xfId="783"/>
    <cellStyle name="_TableHead_q - new guidance 3" xfId="784"/>
    <cellStyle name="_TableHead_q - new guidance 4" xfId="785"/>
    <cellStyle name="_TableHead_q - valuation" xfId="786"/>
    <cellStyle name="_TableHead_q - valuation 2" xfId="787"/>
    <cellStyle name="_TableHead_q - valuation 3" xfId="788"/>
    <cellStyle name="_TableHead_q - valuation 4" xfId="789"/>
    <cellStyle name="_TableHead_Q 2" xfId="790"/>
    <cellStyle name="_TableHead_Q 3" xfId="791"/>
    <cellStyle name="_TableHead_Q 4" xfId="792"/>
    <cellStyle name="_TableHead_Q 5" xfId="793"/>
    <cellStyle name="_TableHead_Q 6" xfId="794"/>
    <cellStyle name="_TableHead_Q 7" xfId="795"/>
    <cellStyle name="_TableHead_Q model_041802" xfId="796"/>
    <cellStyle name="_TableHead_Q model_041802 2" xfId="797"/>
    <cellStyle name="_TableHead_Q model_041802 3" xfId="798"/>
    <cellStyle name="_TableHead_Q model_041802 4" xfId="799"/>
    <cellStyle name="_TableHead_Q_update" xfId="800"/>
    <cellStyle name="_TableHead_Q_update 2" xfId="801"/>
    <cellStyle name="_TableHead_Q_update 3" xfId="802"/>
    <cellStyle name="_TableHead_Q_update 4" xfId="803"/>
    <cellStyle name="_TableHead_QP_XXX" xfId="804"/>
    <cellStyle name="_TableHead_QP_XXX 2" xfId="805"/>
    <cellStyle name="_TableHead_QP_XXX 3" xfId="806"/>
    <cellStyle name="_TableHead_QP_XXX 4" xfId="807"/>
    <cellStyle name="_TableHead_Qwest Analysis" xfId="808"/>
    <cellStyle name="_TableHead_Qwest Analysis 2" xfId="809"/>
    <cellStyle name="_TableHead_Qwest Analysis 3" xfId="810"/>
    <cellStyle name="_TableHead_Qwest Analysis 4" xfId="811"/>
    <cellStyle name="_TableHead_RBOC historicals" xfId="812"/>
    <cellStyle name="_TableHead_RBOC historicals 2" xfId="813"/>
    <cellStyle name="_TableHead_RBOC historicals 3" xfId="814"/>
    <cellStyle name="_TableHead_RBOC historicals 4" xfId="815"/>
    <cellStyle name="_TableHead_T - new" xfId="816"/>
    <cellStyle name="_TableHead_T - new 2" xfId="817"/>
    <cellStyle name="_TableHead_T - new 3" xfId="818"/>
    <cellStyle name="_TableHead_T - new 4" xfId="819"/>
    <cellStyle name="_TableHead_VZ" xfId="820"/>
    <cellStyle name="_TableHead_VZ 2" xfId="821"/>
    <cellStyle name="_TableHead_VZ 3" xfId="822"/>
    <cellStyle name="_TableHead_VZ 4" xfId="823"/>
    <cellStyle name="_TableRowBorder" xfId="824"/>
    <cellStyle name="_TableRowBorder 2" xfId="825"/>
    <cellStyle name="_TableRowBorder 3" xfId="826"/>
    <cellStyle name="_TableRowBorder 4" xfId="827"/>
    <cellStyle name="_TableRowHead" xfId="828"/>
    <cellStyle name="_TableRowHead_BLS" xfId="829"/>
    <cellStyle name="_TableRowHead_bls roic" xfId="830"/>
    <cellStyle name="_TableRowHead_Book9" xfId="831"/>
    <cellStyle name="_TableRowHead_Broadband Comps" xfId="832"/>
    <cellStyle name="_TableRowHead_capital expenditures 6-18-02" xfId="833"/>
    <cellStyle name="_TableRowHead_CTCO" xfId="834"/>
    <cellStyle name="_TableRowHead_Infinity Mill Overview 1-14-08v1" xfId="835"/>
    <cellStyle name="_TableRowHead_Infinity Mill Overview 1-14-08v1 2" xfId="836"/>
    <cellStyle name="_TableRowHead_Q" xfId="837"/>
    <cellStyle name="_TableRowHead_q - new guidance" xfId="838"/>
    <cellStyle name="_TableRowHead_q - valuation" xfId="839"/>
    <cellStyle name="_TableRowHead_Q model_041802" xfId="840"/>
    <cellStyle name="_TableRowHead_Q_update" xfId="841"/>
    <cellStyle name="_TableRowHead_QP_XXX" xfId="842"/>
    <cellStyle name="_TableRowHead_Qwest Analysis" xfId="843"/>
    <cellStyle name="_TableRowHead_RBOC historicals" xfId="844"/>
    <cellStyle name="_TableRowHead_T - new" xfId="845"/>
    <cellStyle name="_TableRowHead_VZ" xfId="846"/>
    <cellStyle name="_TableSuperHead" xfId="847"/>
    <cellStyle name="_TableSuperHead_Ability to Pay Analysis" xfId="848"/>
    <cellStyle name="_TableSuperHead_BankUnited Model" xfId="849"/>
    <cellStyle name="_TableSuperHead_BLS" xfId="850"/>
    <cellStyle name="_TableSuperHead_bls roic" xfId="851"/>
    <cellStyle name="_TableSuperHead_Book9" xfId="852"/>
    <cellStyle name="_TableSuperHead_Broadband Comps" xfId="853"/>
    <cellStyle name="_TableSuperHead_capital expenditures 6-18-02" xfId="854"/>
    <cellStyle name="_TableSuperHead_CTCO" xfId="855"/>
    <cellStyle name="_TableSuperHead_fmbi counties" xfId="856"/>
    <cellStyle name="_TableSuperHead_Infinity Mill Overview 1-14-08v1" xfId="857"/>
    <cellStyle name="_TableSuperHead_Infinity Mill Overview 1-14-08v1 2" xfId="858"/>
    <cellStyle name="_TableSuperHead_Q" xfId="859"/>
    <cellStyle name="_TableSuperHead_q - new guidance" xfId="860"/>
    <cellStyle name="_TableSuperHead_q - valuation" xfId="861"/>
    <cellStyle name="_TableSuperHead_Q model_041802" xfId="862"/>
    <cellStyle name="_TableSuperHead_Q_update" xfId="863"/>
    <cellStyle name="_TableSuperHead_Qwest Analysis" xfId="864"/>
    <cellStyle name="_TableSuperHead_RBOC historicals" xfId="865"/>
    <cellStyle name="_TableSuperHead_T - new" xfId="866"/>
    <cellStyle name="_TableSuperHead_VZ" xfId="867"/>
    <cellStyle name="_TableSuperHead_xratio - historical mkt val" xfId="868"/>
    <cellStyle name="_TeleSPValuationModel_v2" xfId="869"/>
    <cellStyle name="_TemplateSheets" xfId="870"/>
    <cellStyle name="_TemplateSheets_AESA_WIP_ANAtest" xfId="871"/>
    <cellStyle name="_TemplateSheets_Estacio_Oficial_ANA_outsource_test" xfId="872"/>
    <cellStyle name="_TemplateSheets_Estacio_Oficial_ANA_outsource_test_2" xfId="873"/>
    <cellStyle name="_TemplateSheets_WORKING_prjcsmg2007_new" xfId="874"/>
    <cellStyle name="-_Usgaap1" xfId="875"/>
    <cellStyle name="-_Usgaap1 2" xfId="876"/>
    <cellStyle name="-_Usgaap1_Raw_financials" xfId="877"/>
    <cellStyle name="-_Usgaap1_Raw_financials 2" xfId="878"/>
    <cellStyle name="_WACC Analysis" xfId="879"/>
    <cellStyle name="_WACC DLJ" xfId="880"/>
    <cellStyle name="_WORKING prjget2007_new" xfId="881"/>
    <cellStyle name="_WORKING prjget2007_new 2" xfId="882"/>
    <cellStyle name="_WORKING_prjcsmg2007_new" xfId="883"/>
    <cellStyle name="_WORKINGseb_new_ANA" xfId="884"/>
    <cellStyle name="’Ê‰Ý [0.00]_COMPANY" xfId="885"/>
    <cellStyle name="’Ê‰Ý_COMPANY" xfId="886"/>
    <cellStyle name="“ú–{Œê" xfId="887"/>
    <cellStyle name="£ BP" xfId="888"/>
    <cellStyle name="£3places" xfId="889"/>
    <cellStyle name="¥ JY" xfId="890"/>
    <cellStyle name="=C:\WINNT35\SYSTEM32\COMMAND.COM" xfId="891"/>
    <cellStyle name="•W€_Comparables" xfId="892"/>
    <cellStyle name="•W_EditLog" xfId="893"/>
    <cellStyle name="æØè [0.00]_COMPANY" xfId="894"/>
    <cellStyle name="æØè_COMPANY" xfId="895"/>
    <cellStyle name="0" xfId="896"/>
    <cellStyle name="0%" xfId="897"/>
    <cellStyle name="0,0_x000d__x000a_NA_x000d__x000a_" xfId="898"/>
    <cellStyle name="0,0_x000d__x000a_NA_x000d__x000a_ 2" xfId="899"/>
    <cellStyle name="0.0" xfId="900"/>
    <cellStyle name="0.0 NORMAL" xfId="901"/>
    <cellStyle name="0.0 PERCENT" xfId="902"/>
    <cellStyle name="0.0 x" xfId="903"/>
    <cellStyle name="0.0%" xfId="904"/>
    <cellStyle name="0.0_2. TRS Decomposition" xfId="905"/>
    <cellStyle name="0.00" xfId="906"/>
    <cellStyle name="0.00%" xfId="907"/>
    <cellStyle name="0.00_40050504 (pension)" xfId="908"/>
    <cellStyle name="0.000" xfId="909"/>
    <cellStyle name="0_40050504 (pension)" xfId="910"/>
    <cellStyle name="0_40050504 (pension) 2" xfId="911"/>
    <cellStyle name="0_40050504 (pension)_Estacio_Oficial_ANA_outsource_test" xfId="912"/>
    <cellStyle name="0_40050504 (pension)_Estacio_Oficial_ANA_outsource_test 2" xfId="913"/>
    <cellStyle name="0_9952 formal model(070322)-1" xfId="914"/>
    <cellStyle name="0_9952 formal model(070322)-1 2" xfId="915"/>
    <cellStyle name="0_9952 formal model(070322)-1_Estacio_Oficial_ANA_outsource_test" xfId="916"/>
    <cellStyle name="0_9952 formal model(070322)-1_Estacio_Oficial_ANA_outsource_test 2" xfId="917"/>
    <cellStyle name="0_AGRO3 Valuation Model" xfId="918"/>
    <cellStyle name="0_AGRO3 Valuation Model_Raw_financials" xfId="919"/>
    <cellStyle name="0_AGRO3 Valuation Model_Raw_financials_BRF Valuation Model" xfId="920"/>
    <cellStyle name="0_AGRO3-Valuation-Model-backup02dez08" xfId="921"/>
    <cellStyle name="0_AGRO3-Valuation-Model-backup02dez08_Raw_financials" xfId="922"/>
    <cellStyle name="0_bs" xfId="923"/>
    <cellStyle name="0_bs_Estacio_Oficial_ANA_outsource_test" xfId="924"/>
    <cellStyle name="0_bs_SEB_Oficial_ANA_outsource_test" xfId="925"/>
    <cellStyle name="0_bs_SEB_Oficial_ANA_outsource_test 2" xfId="926"/>
    <cellStyle name="0_Capex &amp; Depreciation " xfId="927"/>
    <cellStyle name="0_Capex &amp; Depreciation _5. Synergies Seara" xfId="928"/>
    <cellStyle name="0_ConsensusPanel_v20080325 (2)" xfId="929"/>
    <cellStyle name="0_Conso-inc" xfId="930"/>
    <cellStyle name="0_Conso-inc_Estacio_Oficial_ANA_outsource_test" xfId="931"/>
    <cellStyle name="0_Conso-inc_SEB_Oficial_ANA_outsource_test" xfId="932"/>
    <cellStyle name="0_Conso-inc_SEB_Oficial_ANA_outsource_test 2" xfId="933"/>
    <cellStyle name="0_Estacio_Oficial_ANA_outsource_test" xfId="934"/>
    <cellStyle name="0_Estacio_Oficial_ANA_outsource_test_Raw_financials" xfId="935"/>
    <cellStyle name="0_external_link" xfId="936"/>
    <cellStyle name="0_external_link 2" xfId="937"/>
    <cellStyle name="0_FFTL4 Valuation Model" xfId="938"/>
    <cellStyle name="0_FFTL4 Valuation Model_Raw_financials" xfId="939"/>
    <cellStyle name="0_FSA - ME - FINAL (2)1" xfId="940"/>
    <cellStyle name="0_geconsensusv1" xfId="941"/>
    <cellStyle name="0_IV2" xfId="942"/>
    <cellStyle name="0_IV2 2" xfId="943"/>
    <cellStyle name="0_IV6" xfId="944"/>
    <cellStyle name="0_IV6 2" xfId="945"/>
    <cellStyle name="0_Japan Pension Module Sumitomo Chemical" xfId="946"/>
    <cellStyle name="0_Japan Pension Module Sumitomo Chemical 2" xfId="947"/>
    <cellStyle name="0_Japan Pension Module Sumitomo Chemical_Estacio_Oficial_ANA_outsource_test" xfId="948"/>
    <cellStyle name="0_Japan Pension Module Sumitomo Chemical_Estacio_Oficial_ANA_outsource_test 2" xfId="949"/>
    <cellStyle name="0_JapaneseCatalog" xfId="950"/>
    <cellStyle name="0_Lonmin_request" xfId="951"/>
    <cellStyle name="0_Lonmin_request_Estacio_Oficial_ANA_outsource_test" xfId="952"/>
    <cellStyle name="0_Lonmin_request_SEB_Oficial_ANA_outsource_test" xfId="953"/>
    <cellStyle name="0_Lonmin_request_SEB_Oficial_ANA_outsource_test 2" xfId="954"/>
    <cellStyle name="0_MW PEV Model" xfId="955"/>
    <cellStyle name="0_MWAnalytics" xfId="956"/>
    <cellStyle name="0_MWAnalytics_Estacio_Oficial_ANA_outsource_test" xfId="957"/>
    <cellStyle name="0_MWAnalytics_SEB_Oficial_ANA_outsource_test" xfId="958"/>
    <cellStyle name="0_MWAnalytics_SEB_Oficial_ANA_outsource_test 2" xfId="959"/>
    <cellStyle name="0_MWAnalytics_v2" xfId="960"/>
    <cellStyle name="0_MWAnalytics_v2_Estacio_Oficial_ANA_outsource_test" xfId="961"/>
    <cellStyle name="0_MWAnalytics_v2_Estacio_Oficial_ANA_outsource_test_Raw_financials" xfId="962"/>
    <cellStyle name="0_MWAnalytics_v2_Raw_financials" xfId="963"/>
    <cellStyle name="0_MWAnalytics_v2_SEB_Oficial_ANA_outsource_test" xfId="964"/>
    <cellStyle name="0_MWAnalytics_v2_SEB_Oficial_ANA_outsource_test 2" xfId="965"/>
    <cellStyle name="0_MWAnalytics_v2_SEB_Oficial_ANA_outsource_test_Raw_financials" xfId="966"/>
    <cellStyle name="0_MWAnalytics_v2_SEB_Oficial_ANA_outsource_test_Raw_financials 2" xfId="967"/>
    <cellStyle name="0_Profarma Model 3Q08" xfId="968"/>
    <cellStyle name="0_Profarma Model 3Q08 2" xfId="969"/>
    <cellStyle name="0_Raw_financials" xfId="970"/>
    <cellStyle name="0_Rio_main" xfId="971"/>
    <cellStyle name="0_Rio_main_Estacio_Oficial_ANA_outsource_test" xfId="972"/>
    <cellStyle name="0_Rio_main_Estacio_Oficial_ANA_outsource_test_Raw_financials" xfId="973"/>
    <cellStyle name="0_Rio_main_Raw_financials" xfId="974"/>
    <cellStyle name="0_Rio_main_SEB_Oficial_ANA_outsource_test" xfId="975"/>
    <cellStyle name="0_Rio_main_SEB_Oficial_ANA_outsource_test 2" xfId="976"/>
    <cellStyle name="0_Rio_main_SEB_Oficial_ANA_outsource_test_Raw_financials" xfId="977"/>
    <cellStyle name="0_Rio_main_SEB_Oficial_ANA_outsource_test_Raw_financials 2" xfId="978"/>
    <cellStyle name="0_ROE2" xfId="979"/>
    <cellStyle name="0_ROE2 2" xfId="980"/>
    <cellStyle name="0_ROE4" xfId="981"/>
    <cellStyle name="0_ROE4 2" xfId="982"/>
    <cellStyle name="0_SEB_Oficial_ANA_outsource_test" xfId="983"/>
    <cellStyle name="0_SEB_Oficial_ANA_outsource_test 2" xfId="984"/>
    <cellStyle name="0_SEB_Oficial_ANA_outsource_test_Raw_financials" xfId="985"/>
    <cellStyle name="0_SEB_Oficial_ANA_outsource_test_Raw_financials 2" xfId="986"/>
    <cellStyle name="0_ShtReferance" xfId="987"/>
    <cellStyle name="0_ShtReferance_Estacio_Oficial_ANA_outsource_test" xfId="988"/>
    <cellStyle name="0_ShtReferance_SEB_Oficial_ANA_outsource_test" xfId="989"/>
    <cellStyle name="0_ShtReferance_SEB_Oficial_ANA_outsource_test 2" xfId="990"/>
    <cellStyle name="0_SLCE3 Valuation Model" xfId="991"/>
    <cellStyle name="0_SLCE3 Valuation Model_Raw_financials" xfId="992"/>
    <cellStyle name="0_SLCE3 Valuation Model_Raw_financials_BRF Valuation Model" xfId="993"/>
    <cellStyle name="0_SmartChart_C3800(1)" xfId="994"/>
    <cellStyle name="0_TemplateSheets" xfId="995"/>
    <cellStyle name="0_TemplateSheets_Estacio_Oficial_ANA_outsource_test" xfId="996"/>
    <cellStyle name="0_TemplateSheets_SEB_Oficial_ANA_outsource_test" xfId="997"/>
    <cellStyle name="0_TemplateSheets_SEB_Oficial_ANA_outsource_test 2" xfId="998"/>
    <cellStyle name="0_Valuing BP " xfId="999"/>
    <cellStyle name="0_Valuing BP _5. Synergies Seara" xfId="1000"/>
    <cellStyle name="0_Yardstick2012" xfId="1001"/>
    <cellStyle name="0_Yardstick2012 2" xfId="1002"/>
    <cellStyle name="000 PN" xfId="1003"/>
    <cellStyle name="000's" xfId="1004"/>
    <cellStyle name="1" xfId="1005"/>
    <cellStyle name="--1" xfId="1006"/>
    <cellStyle name="1,comma" xfId="1007"/>
    <cellStyle name="1000s1Place" xfId="1008"/>
    <cellStyle name="1MMs1Place" xfId="1009"/>
    <cellStyle name="1MMs2Places" xfId="1010"/>
    <cellStyle name="2 Decimal Places" xfId="1011"/>
    <cellStyle name="20% - Accent1 10" xfId="1012"/>
    <cellStyle name="20% - Accent1 10 2" xfId="1013"/>
    <cellStyle name="20% - Accent1 2" xfId="1014"/>
    <cellStyle name="20% - Accent1 2 2" xfId="1015"/>
    <cellStyle name="20% - Accent1 3" xfId="1016"/>
    <cellStyle name="20% - Accent1 3 2" xfId="1017"/>
    <cellStyle name="20% - Accent1 4" xfId="1018"/>
    <cellStyle name="20% - Accent1 4 2" xfId="1019"/>
    <cellStyle name="20% - Accent1 5" xfId="1020"/>
    <cellStyle name="20% - Accent1 5 2" xfId="1021"/>
    <cellStyle name="20% - Accent1 6" xfId="1022"/>
    <cellStyle name="20% - Accent1 6 2" xfId="1023"/>
    <cellStyle name="20% - Accent1 7" xfId="1024"/>
    <cellStyle name="20% - Accent1 8" xfId="1025"/>
    <cellStyle name="20% - Accent1 9" xfId="1026"/>
    <cellStyle name="20% - Accent1 9 2" xfId="1027"/>
    <cellStyle name="20% - Accent2 10" xfId="1028"/>
    <cellStyle name="20% - Accent2 10 2" xfId="1029"/>
    <cellStyle name="20% - Accent2 2" xfId="1030"/>
    <cellStyle name="20% - Accent2 2 2" xfId="1031"/>
    <cellStyle name="20% - Accent2 3" xfId="1032"/>
    <cellStyle name="20% - Accent2 3 2" xfId="1033"/>
    <cellStyle name="20% - Accent2 4" xfId="1034"/>
    <cellStyle name="20% - Accent2 4 2" xfId="1035"/>
    <cellStyle name="20% - Accent2 5" xfId="1036"/>
    <cellStyle name="20% - Accent2 5 2" xfId="1037"/>
    <cellStyle name="20% - Accent2 6" xfId="1038"/>
    <cellStyle name="20% - Accent2 6 2" xfId="1039"/>
    <cellStyle name="20% - Accent2 7" xfId="1040"/>
    <cellStyle name="20% - Accent2 8" xfId="1041"/>
    <cellStyle name="20% - Accent2 9" xfId="1042"/>
    <cellStyle name="20% - Accent2 9 2" xfId="1043"/>
    <cellStyle name="20% - Accent3 10" xfId="1044"/>
    <cellStyle name="20% - Accent3 10 2" xfId="1045"/>
    <cellStyle name="20% - Accent3 2" xfId="1046"/>
    <cellStyle name="20% - Accent3 2 2" xfId="1047"/>
    <cellStyle name="20% - Accent3 3" xfId="1048"/>
    <cellStyle name="20% - Accent3 3 2" xfId="1049"/>
    <cellStyle name="20% - Accent3 4" xfId="1050"/>
    <cellStyle name="20% - Accent3 4 2" xfId="1051"/>
    <cellStyle name="20% - Accent3 5" xfId="1052"/>
    <cellStyle name="20% - Accent3 5 2" xfId="1053"/>
    <cellStyle name="20% - Accent3 6" xfId="1054"/>
    <cellStyle name="20% - Accent3 6 2" xfId="1055"/>
    <cellStyle name="20% - Accent3 7" xfId="1056"/>
    <cellStyle name="20% - Accent3 8" xfId="1057"/>
    <cellStyle name="20% - Accent3 9" xfId="1058"/>
    <cellStyle name="20% - Accent3 9 2" xfId="1059"/>
    <cellStyle name="20% - Accent4 10" xfId="1060"/>
    <cellStyle name="20% - Accent4 10 2" xfId="1061"/>
    <cellStyle name="20% - Accent4 2" xfId="1062"/>
    <cellStyle name="20% - Accent4 2 2" xfId="1063"/>
    <cellStyle name="20% - Accent4 3" xfId="1064"/>
    <cellStyle name="20% - Accent4 3 2" xfId="1065"/>
    <cellStyle name="20% - Accent4 4" xfId="1066"/>
    <cellStyle name="20% - Accent4 4 2" xfId="1067"/>
    <cellStyle name="20% - Accent4 5" xfId="1068"/>
    <cellStyle name="20% - Accent4 5 2" xfId="1069"/>
    <cellStyle name="20% - Accent4 6" xfId="1070"/>
    <cellStyle name="20% - Accent4 6 2" xfId="1071"/>
    <cellStyle name="20% - Accent4 7" xfId="1072"/>
    <cellStyle name="20% - Accent4 8" xfId="1073"/>
    <cellStyle name="20% - Accent4 9" xfId="1074"/>
    <cellStyle name="20% - Accent4 9 2" xfId="1075"/>
    <cellStyle name="20% - Accent5 10" xfId="1076"/>
    <cellStyle name="20% - Accent5 10 2" xfId="1077"/>
    <cellStyle name="20% - Accent5 2" xfId="1078"/>
    <cellStyle name="20% - Accent5 2 2" xfId="1079"/>
    <cellStyle name="20% - Accent5 3" xfId="1080"/>
    <cellStyle name="20% - Accent5 3 2" xfId="1081"/>
    <cellStyle name="20% - Accent5 4" xfId="1082"/>
    <cellStyle name="20% - Accent5 4 2" xfId="1083"/>
    <cellStyle name="20% - Accent5 5" xfId="1084"/>
    <cellStyle name="20% - Accent5 5 2" xfId="1085"/>
    <cellStyle name="20% - Accent5 6" xfId="1086"/>
    <cellStyle name="20% - Accent5 6 2" xfId="1087"/>
    <cellStyle name="20% - Accent5 7" xfId="1088"/>
    <cellStyle name="20% - Accent5 8" xfId="1089"/>
    <cellStyle name="20% - Accent5 9" xfId="1090"/>
    <cellStyle name="20% - Accent5 9 2" xfId="1091"/>
    <cellStyle name="20% - Accent6 10" xfId="1092"/>
    <cellStyle name="20% - Accent6 10 2" xfId="1093"/>
    <cellStyle name="20% - Accent6 2" xfId="1094"/>
    <cellStyle name="20% - Accent6 2 2" xfId="1095"/>
    <cellStyle name="20% - Accent6 3" xfId="1096"/>
    <cellStyle name="20% - Accent6 3 2" xfId="1097"/>
    <cellStyle name="20% - Accent6 4" xfId="1098"/>
    <cellStyle name="20% - Accent6 4 2" xfId="1099"/>
    <cellStyle name="20% - Accent6 5" xfId="1100"/>
    <cellStyle name="20% - Accent6 5 2" xfId="1101"/>
    <cellStyle name="20% - Accent6 6" xfId="1102"/>
    <cellStyle name="20% - Accent6 6 2" xfId="1103"/>
    <cellStyle name="20% - Accent6 7" xfId="1104"/>
    <cellStyle name="20% - Accent6 8" xfId="1105"/>
    <cellStyle name="20% - Accent6 9" xfId="1106"/>
    <cellStyle name="20% - Accent6 9 2" xfId="1107"/>
    <cellStyle name="20% - Ênfase1" xfId="1108"/>
    <cellStyle name="20% - Ênfase1 2" xfId="1109"/>
    <cellStyle name="20% - Ênfase1 3" xfId="1110"/>
    <cellStyle name="20% - Ênfase1 4" xfId="1111"/>
    <cellStyle name="20% - Ênfase1 5" xfId="1112"/>
    <cellStyle name="20% - Ênfase1 6" xfId="1113"/>
    <cellStyle name="20% - Ênfase2" xfId="1114"/>
    <cellStyle name="20% - Ênfase2 2" xfId="1115"/>
    <cellStyle name="20% - Ênfase2 3" xfId="1116"/>
    <cellStyle name="20% - Ênfase2 4" xfId="1117"/>
    <cellStyle name="20% - Ênfase2 5" xfId="1118"/>
    <cellStyle name="20% - Ênfase2 6" xfId="1119"/>
    <cellStyle name="20% - Ênfase3" xfId="1120"/>
    <cellStyle name="20% - Ênfase3 2" xfId="1121"/>
    <cellStyle name="20% - Ênfase3 3" xfId="1122"/>
    <cellStyle name="20% - Ênfase3 4" xfId="1123"/>
    <cellStyle name="20% - Ênfase3 5" xfId="1124"/>
    <cellStyle name="20% - Ênfase3 6" xfId="1125"/>
    <cellStyle name="20% - Ênfase4" xfId="1126"/>
    <cellStyle name="20% - Ênfase4 2" xfId="1127"/>
    <cellStyle name="20% - Ênfase4 3" xfId="1128"/>
    <cellStyle name="20% - Ênfase4 4" xfId="1129"/>
    <cellStyle name="20% - Ênfase4 5" xfId="1130"/>
    <cellStyle name="20% - Ênfase4 6" xfId="1131"/>
    <cellStyle name="20% - Ênfase5" xfId="1132"/>
    <cellStyle name="20% - Ênfase5 2" xfId="1133"/>
    <cellStyle name="20% - Ênfase5 3" xfId="1134"/>
    <cellStyle name="20% - Ênfase5 4" xfId="1135"/>
    <cellStyle name="20% - Ênfase5 5" xfId="1136"/>
    <cellStyle name="20% - Ênfase5 6" xfId="1137"/>
    <cellStyle name="20% - Ênfase6" xfId="1138"/>
    <cellStyle name="20% - Ênfase6 2" xfId="1139"/>
    <cellStyle name="20% - Ênfase6 3" xfId="1140"/>
    <cellStyle name="20% - Ênfase6 4" xfId="1141"/>
    <cellStyle name="20% - Ênfase6 5" xfId="1142"/>
    <cellStyle name="20% - Ênfase6 6" xfId="1143"/>
    <cellStyle name="20% - Énfasis1" xfId="1144"/>
    <cellStyle name="20% - Énfasis2" xfId="1145"/>
    <cellStyle name="20% - Énfasis3" xfId="1146"/>
    <cellStyle name="20% - Énfasis4" xfId="1147"/>
    <cellStyle name="20% - Énfasis5" xfId="1148"/>
    <cellStyle name="20% - Énfasis6" xfId="1149"/>
    <cellStyle name="3" xfId="1150"/>
    <cellStyle name="3_Raw_financials" xfId="1151"/>
    <cellStyle name="40% - Accent1 10" xfId="1152"/>
    <cellStyle name="40% - Accent1 10 2" xfId="1153"/>
    <cellStyle name="40% - Accent1 2" xfId="1154"/>
    <cellStyle name="40% - Accent1 2 2" xfId="1155"/>
    <cellStyle name="40% - Accent1 3" xfId="1156"/>
    <cellStyle name="40% - Accent1 3 2" xfId="1157"/>
    <cellStyle name="40% - Accent1 4" xfId="1158"/>
    <cellStyle name="40% - Accent1 4 2" xfId="1159"/>
    <cellStyle name="40% - Accent1 5" xfId="1160"/>
    <cellStyle name="40% - Accent1 5 2" xfId="1161"/>
    <cellStyle name="40% - Accent1 6" xfId="1162"/>
    <cellStyle name="40% - Accent1 6 2" xfId="1163"/>
    <cellStyle name="40% - Accent1 7" xfId="1164"/>
    <cellStyle name="40% - Accent1 8" xfId="1165"/>
    <cellStyle name="40% - Accent1 9" xfId="1166"/>
    <cellStyle name="40% - Accent1 9 2" xfId="1167"/>
    <cellStyle name="40% - Accent2 10" xfId="1168"/>
    <cellStyle name="40% - Accent2 10 2" xfId="1169"/>
    <cellStyle name="40% - Accent2 2" xfId="1170"/>
    <cellStyle name="40% - Accent2 2 2" xfId="1171"/>
    <cellStyle name="40% - Accent2 3" xfId="1172"/>
    <cellStyle name="40% - Accent2 3 2" xfId="1173"/>
    <cellStyle name="40% - Accent2 4" xfId="1174"/>
    <cellStyle name="40% - Accent2 4 2" xfId="1175"/>
    <cellStyle name="40% - Accent2 5" xfId="1176"/>
    <cellStyle name="40% - Accent2 5 2" xfId="1177"/>
    <cellStyle name="40% - Accent2 6" xfId="1178"/>
    <cellStyle name="40% - Accent2 6 2" xfId="1179"/>
    <cellStyle name="40% - Accent2 7" xfId="1180"/>
    <cellStyle name="40% - Accent2 8" xfId="1181"/>
    <cellStyle name="40% - Accent2 9" xfId="1182"/>
    <cellStyle name="40% - Accent2 9 2" xfId="1183"/>
    <cellStyle name="40% - Accent3 10" xfId="1184"/>
    <cellStyle name="40% - Accent3 10 2" xfId="1185"/>
    <cellStyle name="40% - Accent3 2" xfId="1186"/>
    <cellStyle name="40% - Accent3 2 2" xfId="1187"/>
    <cellStyle name="40% - Accent3 3" xfId="1188"/>
    <cellStyle name="40% - Accent3 3 2" xfId="1189"/>
    <cellStyle name="40% - Accent3 4" xfId="1190"/>
    <cellStyle name="40% - Accent3 4 2" xfId="1191"/>
    <cellStyle name="40% - Accent3 5" xfId="1192"/>
    <cellStyle name="40% - Accent3 5 2" xfId="1193"/>
    <cellStyle name="40% - Accent3 6" xfId="1194"/>
    <cellStyle name="40% - Accent3 6 2" xfId="1195"/>
    <cellStyle name="40% - Accent3 7" xfId="1196"/>
    <cellStyle name="40% - Accent3 8" xfId="1197"/>
    <cellStyle name="40% - Accent3 9" xfId="1198"/>
    <cellStyle name="40% - Accent3 9 2" xfId="1199"/>
    <cellStyle name="40% - Accent4 10" xfId="1200"/>
    <cellStyle name="40% - Accent4 10 2" xfId="1201"/>
    <cellStyle name="40% - Accent4 2" xfId="1202"/>
    <cellStyle name="40% - Accent4 2 2" xfId="1203"/>
    <cellStyle name="40% - Accent4 3" xfId="1204"/>
    <cellStyle name="40% - Accent4 3 2" xfId="1205"/>
    <cellStyle name="40% - Accent4 4" xfId="1206"/>
    <cellStyle name="40% - Accent4 4 2" xfId="1207"/>
    <cellStyle name="40% - Accent4 5" xfId="1208"/>
    <cellStyle name="40% - Accent4 5 2" xfId="1209"/>
    <cellStyle name="40% - Accent4 6" xfId="1210"/>
    <cellStyle name="40% - Accent4 6 2" xfId="1211"/>
    <cellStyle name="40% - Accent4 7" xfId="1212"/>
    <cellStyle name="40% - Accent4 8" xfId="1213"/>
    <cellStyle name="40% - Accent4 9" xfId="1214"/>
    <cellStyle name="40% - Accent4 9 2" xfId="1215"/>
    <cellStyle name="40% - Accent5 10" xfId="1216"/>
    <cellStyle name="40% - Accent5 10 2" xfId="1217"/>
    <cellStyle name="40% - Accent5 2" xfId="1218"/>
    <cellStyle name="40% - Accent5 2 2" xfId="1219"/>
    <cellStyle name="40% - Accent5 3" xfId="1220"/>
    <cellStyle name="40% - Accent5 3 2" xfId="1221"/>
    <cellStyle name="40% - Accent5 4" xfId="1222"/>
    <cellStyle name="40% - Accent5 4 2" xfId="1223"/>
    <cellStyle name="40% - Accent5 5" xfId="1224"/>
    <cellStyle name="40% - Accent5 5 2" xfId="1225"/>
    <cellStyle name="40% - Accent5 6" xfId="1226"/>
    <cellStyle name="40% - Accent5 6 2" xfId="1227"/>
    <cellStyle name="40% - Accent5 7" xfId="1228"/>
    <cellStyle name="40% - Accent5 8" xfId="1229"/>
    <cellStyle name="40% - Accent5 9" xfId="1230"/>
    <cellStyle name="40% - Accent5 9 2" xfId="1231"/>
    <cellStyle name="40% - Accent6 10" xfId="1232"/>
    <cellStyle name="40% - Accent6 10 2" xfId="1233"/>
    <cellStyle name="40% - Accent6 2" xfId="1234"/>
    <cellStyle name="40% - Accent6 2 2" xfId="1235"/>
    <cellStyle name="40% - Accent6 3" xfId="1236"/>
    <cellStyle name="40% - Accent6 3 2" xfId="1237"/>
    <cellStyle name="40% - Accent6 4" xfId="1238"/>
    <cellStyle name="40% - Accent6 4 2" xfId="1239"/>
    <cellStyle name="40% - Accent6 5" xfId="1240"/>
    <cellStyle name="40% - Accent6 5 2" xfId="1241"/>
    <cellStyle name="40% - Accent6 6" xfId="1242"/>
    <cellStyle name="40% - Accent6 6 2" xfId="1243"/>
    <cellStyle name="40% - Accent6 7" xfId="1244"/>
    <cellStyle name="40% - Accent6 8" xfId="1245"/>
    <cellStyle name="40% - Accent6 9" xfId="1246"/>
    <cellStyle name="40% - Accent6 9 2" xfId="1247"/>
    <cellStyle name="40% - Ênfase1" xfId="1248"/>
    <cellStyle name="40% - Ênfase1 2" xfId="1249"/>
    <cellStyle name="40% - Ênfase1 3" xfId="1250"/>
    <cellStyle name="40% - Ênfase1 4" xfId="1251"/>
    <cellStyle name="40% - Ênfase1 5" xfId="1252"/>
    <cellStyle name="40% - Ênfase1 6" xfId="1253"/>
    <cellStyle name="40% - Ênfase2" xfId="1254"/>
    <cellStyle name="40% - Ênfase2 2" xfId="1255"/>
    <cellStyle name="40% - Ênfase2 3" xfId="1256"/>
    <cellStyle name="40% - Ênfase2 4" xfId="1257"/>
    <cellStyle name="40% - Ênfase2 5" xfId="1258"/>
    <cellStyle name="40% - Ênfase2 6" xfId="1259"/>
    <cellStyle name="40% - Ênfase3" xfId="1260"/>
    <cellStyle name="40% - Ênfase3 2" xfId="1261"/>
    <cellStyle name="40% - Ênfase3 3" xfId="1262"/>
    <cellStyle name="40% - Ênfase3 4" xfId="1263"/>
    <cellStyle name="40% - Ênfase3 5" xfId="1264"/>
    <cellStyle name="40% - Ênfase3 6" xfId="1265"/>
    <cellStyle name="40% - Ênfase4" xfId="1266"/>
    <cellStyle name="40% - Ênfase4 2" xfId="1267"/>
    <cellStyle name="40% - Ênfase4 3" xfId="1268"/>
    <cellStyle name="40% - Ênfase4 4" xfId="1269"/>
    <cellStyle name="40% - Ênfase4 5" xfId="1270"/>
    <cellStyle name="40% - Ênfase4 6" xfId="1271"/>
    <cellStyle name="40% - Ênfase5" xfId="1272"/>
    <cellStyle name="40% - Ênfase5 2" xfId="1273"/>
    <cellStyle name="40% - Ênfase5 3" xfId="1274"/>
    <cellStyle name="40% - Ênfase5 4" xfId="1275"/>
    <cellStyle name="40% - Ênfase5 5" xfId="1276"/>
    <cellStyle name="40% - Ênfase5 6" xfId="1277"/>
    <cellStyle name="40% - Ênfase6" xfId="1278"/>
    <cellStyle name="40% - Ênfase6 2" xfId="1279"/>
    <cellStyle name="40% - Ênfase6 3" xfId="1280"/>
    <cellStyle name="40% - Ênfase6 4" xfId="1281"/>
    <cellStyle name="40% - Ênfase6 5" xfId="1282"/>
    <cellStyle name="40% - Ênfase6 6" xfId="1283"/>
    <cellStyle name="40% - Énfasis1" xfId="1284"/>
    <cellStyle name="40% - Énfasis2" xfId="1285"/>
    <cellStyle name="40% - Énfasis3" xfId="1286"/>
    <cellStyle name="40% - Énfasis4" xfId="1287"/>
    <cellStyle name="40% - Énfasis5" xfId="1288"/>
    <cellStyle name="40% - Énfasis6" xfId="1289"/>
    <cellStyle name="6" xfId="1290"/>
    <cellStyle name="60% - Accent1 2" xfId="1291"/>
    <cellStyle name="60% - Accent1 2 2" xfId="1292"/>
    <cellStyle name="60% - Accent1 3" xfId="1293"/>
    <cellStyle name="60% - Accent1 3 2" xfId="1294"/>
    <cellStyle name="60% - Accent1 4" xfId="1295"/>
    <cellStyle name="60% - Accent1 4 2" xfId="1296"/>
    <cellStyle name="60% - Accent1 5" xfId="1297"/>
    <cellStyle name="60% - Accent1 5 2" xfId="1298"/>
    <cellStyle name="60% - Accent2 2" xfId="1299"/>
    <cellStyle name="60% - Accent2 2 2" xfId="1300"/>
    <cellStyle name="60% - Accent2 3" xfId="1301"/>
    <cellStyle name="60% - Accent2 3 2" xfId="1302"/>
    <cellStyle name="60% - Accent2 4" xfId="1303"/>
    <cellStyle name="60% - Accent2 4 2" xfId="1304"/>
    <cellStyle name="60% - Accent2 5" xfId="1305"/>
    <cellStyle name="60% - Accent2 5 2" xfId="1306"/>
    <cellStyle name="60% - Accent3 2" xfId="1307"/>
    <cellStyle name="60% - Accent3 2 2" xfId="1308"/>
    <cellStyle name="60% - Accent3 3" xfId="1309"/>
    <cellStyle name="60% - Accent3 3 2" xfId="1310"/>
    <cellStyle name="60% - Accent3 4" xfId="1311"/>
    <cellStyle name="60% - Accent3 4 2" xfId="1312"/>
    <cellStyle name="60% - Accent3 5" xfId="1313"/>
    <cellStyle name="60% - Accent3 5 2" xfId="1314"/>
    <cellStyle name="60% - Accent4 2" xfId="1315"/>
    <cellStyle name="60% - Accent4 2 2" xfId="1316"/>
    <cellStyle name="60% - Accent4 3" xfId="1317"/>
    <cellStyle name="60% - Accent4 3 2" xfId="1318"/>
    <cellStyle name="60% - Accent4 4" xfId="1319"/>
    <cellStyle name="60% - Accent4 4 2" xfId="1320"/>
    <cellStyle name="60% - Accent4 5" xfId="1321"/>
    <cellStyle name="60% - Accent4 5 2" xfId="1322"/>
    <cellStyle name="60% - Accent5 2" xfId="1323"/>
    <cellStyle name="60% - Accent5 2 2" xfId="1324"/>
    <cellStyle name="60% - Accent5 3" xfId="1325"/>
    <cellStyle name="60% - Accent5 3 2" xfId="1326"/>
    <cellStyle name="60% - Accent5 4" xfId="1327"/>
    <cellStyle name="60% - Accent5 4 2" xfId="1328"/>
    <cellStyle name="60% - Accent5 5" xfId="1329"/>
    <cellStyle name="60% - Accent5 5 2" xfId="1330"/>
    <cellStyle name="60% - Accent6 2" xfId="1331"/>
    <cellStyle name="60% - Accent6 2 2" xfId="1332"/>
    <cellStyle name="60% - Accent6 3" xfId="1333"/>
    <cellStyle name="60% - Accent6 3 2" xfId="1334"/>
    <cellStyle name="60% - Accent6 4" xfId="1335"/>
    <cellStyle name="60% - Accent6 4 2" xfId="1336"/>
    <cellStyle name="60% - Accent6 5" xfId="1337"/>
    <cellStyle name="60% - Accent6 5 2" xfId="1338"/>
    <cellStyle name="60% - Ênfase1" xfId="1339"/>
    <cellStyle name="60% - Ênfase1 2" xfId="1340"/>
    <cellStyle name="60% - Ênfase1 3" xfId="1341"/>
    <cellStyle name="60% - Ênfase1 4" xfId="1342"/>
    <cellStyle name="60% - Ênfase1 5" xfId="1343"/>
    <cellStyle name="60% - Ênfase1 6" xfId="1344"/>
    <cellStyle name="60% - Ênfase2" xfId="1345"/>
    <cellStyle name="60% - Ênfase2 2" xfId="1346"/>
    <cellStyle name="60% - Ênfase2 3" xfId="1347"/>
    <cellStyle name="60% - Ênfase2 4" xfId="1348"/>
    <cellStyle name="60% - Ênfase2 5" xfId="1349"/>
    <cellStyle name="60% - Ênfase2 6" xfId="1350"/>
    <cellStyle name="60% - Ênfase3" xfId="1351"/>
    <cellStyle name="60% - Ênfase3 2" xfId="1352"/>
    <cellStyle name="60% - Ênfase3 3" xfId="1353"/>
    <cellStyle name="60% - Ênfase3 4" xfId="1354"/>
    <cellStyle name="60% - Ênfase3 5" xfId="1355"/>
    <cellStyle name="60% - Ênfase3 6" xfId="1356"/>
    <cellStyle name="60% - Ênfase4" xfId="1357"/>
    <cellStyle name="60% - Ênfase4 2" xfId="1358"/>
    <cellStyle name="60% - Ênfase4 3" xfId="1359"/>
    <cellStyle name="60% - Ênfase4 4" xfId="1360"/>
    <cellStyle name="60% - Ênfase4 5" xfId="1361"/>
    <cellStyle name="60% - Ênfase4 6" xfId="1362"/>
    <cellStyle name="60% - Ênfase5" xfId="1363"/>
    <cellStyle name="60% - Ênfase5 2" xfId="1364"/>
    <cellStyle name="60% - Ênfase5 3" xfId="1365"/>
    <cellStyle name="60% - Ênfase5 4" xfId="1366"/>
    <cellStyle name="60% - Ênfase5 5" xfId="1367"/>
    <cellStyle name="60% - Ênfase5 6" xfId="1368"/>
    <cellStyle name="60% - Ênfase6" xfId="1369"/>
    <cellStyle name="60% - Ênfase6 2" xfId="1370"/>
    <cellStyle name="60% - Ênfase6 3" xfId="1371"/>
    <cellStyle name="60% - Ênfase6 4" xfId="1372"/>
    <cellStyle name="60% - Ênfase6 5" xfId="1373"/>
    <cellStyle name="60% - Ênfase6 6" xfId="1374"/>
    <cellStyle name="60% - Énfasis1" xfId="1375"/>
    <cellStyle name="60% - Énfasis2" xfId="1376"/>
    <cellStyle name="60% - Énfasis3" xfId="1377"/>
    <cellStyle name="60% - Énfasis4" xfId="1378"/>
    <cellStyle name="60% - Énfasis5" xfId="1379"/>
    <cellStyle name="60% - Énfasis6" xfId="1380"/>
    <cellStyle name="600 PN" xfId="1381"/>
    <cellStyle name="6mal" xfId="1382"/>
    <cellStyle name="700 PN" xfId="1383"/>
    <cellStyle name="752131" xfId="1384"/>
    <cellStyle name="9" xfId="1385"/>
    <cellStyle name="a" xfId="1386"/>
    <cellStyle name="A$2places" xfId="1387"/>
    <cellStyle name="A$3places" xfId="1388"/>
    <cellStyle name="A_Block Space" xfId="1389"/>
    <cellStyle name="A_BlueLine" xfId="1390"/>
    <cellStyle name="A_Do not Change" xfId="1391"/>
    <cellStyle name="A_Estimate" xfId="1392"/>
    <cellStyle name="A_Memo" xfId="1393"/>
    <cellStyle name="A_Memo_AGU_model--JF" xfId="1394"/>
    <cellStyle name="A_Normal" xfId="1395"/>
    <cellStyle name="A_Normal Forecast" xfId="1396"/>
    <cellStyle name="A_Normal Historical" xfId="1397"/>
    <cellStyle name="A_Normal Historical_AGU_model--JF" xfId="1398"/>
    <cellStyle name="A_Rate_Data" xfId="1399"/>
    <cellStyle name="A_Rate_Data Historical" xfId="1400"/>
    <cellStyle name="A_Rate_Title" xfId="1401"/>
    <cellStyle name="A_Simple Title" xfId="1402"/>
    <cellStyle name="A_Sum" xfId="1403"/>
    <cellStyle name="A_SUM_Row Major" xfId="1404"/>
    <cellStyle name="A_SUM_Row Minor" xfId="1405"/>
    <cellStyle name="A_Title" xfId="1406"/>
    <cellStyle name="A_Title_AGU_model--JF" xfId="1407"/>
    <cellStyle name="A_YearHeadings" xfId="1408"/>
    <cellStyle name="A3 297 x 420 mm" xfId="1409"/>
    <cellStyle name="Accent1 2" xfId="1410"/>
    <cellStyle name="Accent1 2 2" xfId="1411"/>
    <cellStyle name="Accent1 3" xfId="1412"/>
    <cellStyle name="Accent1 3 2" xfId="1413"/>
    <cellStyle name="Accent1 4" xfId="1414"/>
    <cellStyle name="Accent1 4 2" xfId="1415"/>
    <cellStyle name="Accent1 5" xfId="1416"/>
    <cellStyle name="Accent1 5 2" xfId="1417"/>
    <cellStyle name="Accent2 2" xfId="1418"/>
    <cellStyle name="Accent2 2 2" xfId="1419"/>
    <cellStyle name="Accent2 3" xfId="1420"/>
    <cellStyle name="Accent2 3 2" xfId="1421"/>
    <cellStyle name="Accent2 4" xfId="1422"/>
    <cellStyle name="Accent2 4 2" xfId="1423"/>
    <cellStyle name="Accent2 5" xfId="1424"/>
    <cellStyle name="Accent2 5 2" xfId="1425"/>
    <cellStyle name="Accent3 2" xfId="1426"/>
    <cellStyle name="Accent3 2 2" xfId="1427"/>
    <cellStyle name="Accent3 3" xfId="1428"/>
    <cellStyle name="Accent3 3 2" xfId="1429"/>
    <cellStyle name="Accent3 4" xfId="1430"/>
    <cellStyle name="Accent3 4 2" xfId="1431"/>
    <cellStyle name="Accent3 5" xfId="1432"/>
    <cellStyle name="Accent3 5 2" xfId="1433"/>
    <cellStyle name="Accent4 2" xfId="1434"/>
    <cellStyle name="Accent4 2 2" xfId="1435"/>
    <cellStyle name="Accent4 3" xfId="1436"/>
    <cellStyle name="Accent4 3 2" xfId="1437"/>
    <cellStyle name="Accent4 4" xfId="1438"/>
    <cellStyle name="Accent4 4 2" xfId="1439"/>
    <cellStyle name="Accent4 5" xfId="1440"/>
    <cellStyle name="Accent4 5 2" xfId="1441"/>
    <cellStyle name="Accent5 2" xfId="1442"/>
    <cellStyle name="Accent5 2 2" xfId="1443"/>
    <cellStyle name="Accent5 3" xfId="1444"/>
    <cellStyle name="Accent5 3 2" xfId="1445"/>
    <cellStyle name="Accent5 4" xfId="1446"/>
    <cellStyle name="Accent5 4 2" xfId="1447"/>
    <cellStyle name="Accent5 5" xfId="1448"/>
    <cellStyle name="Accent5 5 2" xfId="1449"/>
    <cellStyle name="Accent6 2" xfId="1450"/>
    <cellStyle name="Accent6 2 2" xfId="1451"/>
    <cellStyle name="Accent6 3" xfId="1452"/>
    <cellStyle name="Accent6 3 2" xfId="1453"/>
    <cellStyle name="Accent6 4" xfId="1454"/>
    <cellStyle name="Accent6 4 2" xfId="1455"/>
    <cellStyle name="Accent6 5" xfId="1456"/>
    <cellStyle name="Accent6 5 2" xfId="1457"/>
    <cellStyle name="Acctg" xfId="1458"/>
    <cellStyle name="AcctgDollrDash0" xfId="1459"/>
    <cellStyle name="Actual" xfId="1460"/>
    <cellStyle name="Actual data" xfId="1461"/>
    <cellStyle name="Actual Date" xfId="1462"/>
    <cellStyle name="Actual Date 2" xfId="1463"/>
    <cellStyle name="Actual year" xfId="1464"/>
    <cellStyle name="Actuals Cells" xfId="1465"/>
    <cellStyle name="Adj L1" xfId="1466"/>
    <cellStyle name="Adj L2" xfId="1467"/>
    <cellStyle name="Adj L3" xfId="1468"/>
    <cellStyle name="Adj Space" xfId="1469"/>
    <cellStyle name="AFE" xfId="1470"/>
    <cellStyle name="AFE 2" xfId="1471"/>
    <cellStyle name="afl" xfId="1472"/>
    <cellStyle name="ales" xfId="1473"/>
    <cellStyle name="AMN" xfId="1474"/>
    <cellStyle name="Andre's Title" xfId="1475"/>
    <cellStyle name="Ann'l_Incr" xfId="1476"/>
    <cellStyle name="args.style" xfId="1477"/>
    <cellStyle name="Arial" xfId="1478"/>
    <cellStyle name="Arial 10" xfId="1479"/>
    <cellStyle name="Arial 10 2" xfId="1480"/>
    <cellStyle name="arial 11" xfId="1481"/>
    <cellStyle name="Arial 12" xfId="1482"/>
    <cellStyle name="arial 13" xfId="1483"/>
    <cellStyle name="arial 14" xfId="1484"/>
    <cellStyle name="arial 15" xfId="1485"/>
    <cellStyle name="arial 16" xfId="1486"/>
    <cellStyle name="arial 17" xfId="1487"/>
    <cellStyle name="arial 18" xfId="1488"/>
    <cellStyle name="arial 19" xfId="1489"/>
    <cellStyle name="arial 2" xfId="1490"/>
    <cellStyle name="Arial 20" xfId="1491"/>
    <cellStyle name="Arial 21" xfId="1492"/>
    <cellStyle name="Arial 22" xfId="1493"/>
    <cellStyle name="Arial 23" xfId="1494"/>
    <cellStyle name="arial 3" xfId="1495"/>
    <cellStyle name="arial 4" xfId="1496"/>
    <cellStyle name="arial 5" xfId="1497"/>
    <cellStyle name="arial 6" xfId="1498"/>
    <cellStyle name="arial 7" xfId="1499"/>
    <cellStyle name="arial 8" xfId="1500"/>
    <cellStyle name="arial 9" xfId="1501"/>
    <cellStyle name="arial_CFS" xfId="1502"/>
    <cellStyle name="ArialNormal" xfId="1503"/>
    <cellStyle name="ArialNormal 2" xfId="1504"/>
    <cellStyle name="Ariel 7 pt. plain" xfId="1505"/>
    <cellStyle name="Assumption" xfId="1506"/>
    <cellStyle name="Assumption 2" xfId="1507"/>
    <cellStyle name="AUV" xfId="1508"/>
    <cellStyle name="AUV 2" xfId="1509"/>
    <cellStyle name="b" xfId="1510"/>
    <cellStyle name="b 2" xfId="1511"/>
    <cellStyle name="Bad 2" xfId="1512"/>
    <cellStyle name="Bad 2 2" xfId="1513"/>
    <cellStyle name="Bad 3" xfId="1514"/>
    <cellStyle name="Bad 3 2" xfId="1515"/>
    <cellStyle name="Bad 4" xfId="1516"/>
    <cellStyle name="Bad 4 2" xfId="1517"/>
    <cellStyle name="Bad 5" xfId="1518"/>
    <cellStyle name="Bad 5 2" xfId="1519"/>
    <cellStyle name="Balance Sheet" xfId="1520"/>
    <cellStyle name="BalanceSheet" xfId="1521"/>
    <cellStyle name="BalanceSheet 2" xfId="1522"/>
    <cellStyle name="Band 2" xfId="1523"/>
    <cellStyle name="Basis points" xfId="1524"/>
    <cellStyle name="big-font" xfId="1525"/>
    <cellStyle name="Billion" xfId="1526"/>
    <cellStyle name="Black" xfId="1527"/>
    <cellStyle name="black - Style1" xfId="1528"/>
    <cellStyle name="Black 10" xfId="1529"/>
    <cellStyle name="Black 11" xfId="1530"/>
    <cellStyle name="Black 12" xfId="1531"/>
    <cellStyle name="Black 13" xfId="1532"/>
    <cellStyle name="Black 14" xfId="1533"/>
    <cellStyle name="Black 15" xfId="1534"/>
    <cellStyle name="Black 16" xfId="1535"/>
    <cellStyle name="Black 17" xfId="1536"/>
    <cellStyle name="Black 2" xfId="1537"/>
    <cellStyle name="Black 3" xfId="1538"/>
    <cellStyle name="Black 4" xfId="1539"/>
    <cellStyle name="Black 5" xfId="1540"/>
    <cellStyle name="Black 6" xfId="1541"/>
    <cellStyle name="Black 7" xfId="1542"/>
    <cellStyle name="Black 8" xfId="1543"/>
    <cellStyle name="Black 9" xfId="1544"/>
    <cellStyle name="Black Text" xfId="1545"/>
    <cellStyle name="Black Text (No Wrap)" xfId="1546"/>
    <cellStyle name="Black Text_Quarterly projections" xfId="1547"/>
    <cellStyle name="BlackStrike" xfId="1548"/>
    <cellStyle name="BlackText" xfId="1549"/>
    <cellStyle name="Blank" xfId="1550"/>
    <cellStyle name="Blue" xfId="1551"/>
    <cellStyle name="Blue 2" xfId="1552"/>
    <cellStyle name="Blue Text" xfId="1553"/>
    <cellStyle name="Blue Text - Ariel 10" xfId="1554"/>
    <cellStyle name="Blue Text_Quarterly projections" xfId="1555"/>
    <cellStyle name="Blue Title" xfId="1556"/>
    <cellStyle name="blue_AGRO3 Valuation Model" xfId="1557"/>
    <cellStyle name="BLuedashZero" xfId="1558"/>
    <cellStyle name="blue-linked data to another file" xfId="1559"/>
    <cellStyle name="Body" xfId="1560"/>
    <cellStyle name="Bold TmsRmn" xfId="1561"/>
    <cellStyle name="Bold/Border" xfId="1562"/>
    <cellStyle name="Bold/Border 2" xfId="1563"/>
    <cellStyle name="Bold/Border 3" xfId="1564"/>
    <cellStyle name="Bold/Border 4" xfId="1565"/>
    <cellStyle name="Bol-Data" xfId="1566"/>
    <cellStyle name="BoldText" xfId="1567"/>
    <cellStyle name="bolet" xfId="1568"/>
    <cellStyle name="Boletim" xfId="1569"/>
    <cellStyle name="Boletim 2" xfId="1570"/>
    <cellStyle name="Bom" xfId="1571"/>
    <cellStyle name="Bom 2" xfId="1572"/>
    <cellStyle name="Bom 3" xfId="1573"/>
    <cellStyle name="Bom 4" xfId="1574"/>
    <cellStyle name="Bom 5" xfId="1575"/>
    <cellStyle name="Bom 6" xfId="1576"/>
    <cellStyle name="book" xfId="1577"/>
    <cellStyle name="borde thin" xfId="1578"/>
    <cellStyle name="Border" xfId="1579"/>
    <cellStyle name="Border 2" xfId="1580"/>
    <cellStyle name="Border Heavy" xfId="1581"/>
    <cellStyle name="Border Heavy 2" xfId="1582"/>
    <cellStyle name="Border Heavy 3" xfId="1583"/>
    <cellStyle name="Border Heavy 4" xfId="1584"/>
    <cellStyle name="border thick" xfId="1585"/>
    <cellStyle name="border thick 2" xfId="1586"/>
    <cellStyle name="Border Thin" xfId="1587"/>
    <cellStyle name="Border Thin 2" xfId="1588"/>
    <cellStyle name="Border Thin 3" xfId="1589"/>
    <cellStyle name="Border Thin 4" xfId="1590"/>
    <cellStyle name="border think" xfId="1591"/>
    <cellStyle name="border tihn" xfId="1592"/>
    <cellStyle name="Border, Bottom" xfId="1593"/>
    <cellStyle name="Border, Bottom 2" xfId="1594"/>
    <cellStyle name="Border, Bottom 2 2" xfId="1595"/>
    <cellStyle name="Border, Bottom 2 3" xfId="1596"/>
    <cellStyle name="Border, Bottom 2 4" xfId="1597"/>
    <cellStyle name="Border, Bottom 3" xfId="1598"/>
    <cellStyle name="Border, Bottom 4" xfId="1599"/>
    <cellStyle name="Border, Bottom 5" xfId="1600"/>
    <cellStyle name="Border, Left" xfId="1601"/>
    <cellStyle name="Border, Left 2" xfId="1602"/>
    <cellStyle name="Border, Right" xfId="1603"/>
    <cellStyle name="Border, Right 2" xfId="1604"/>
    <cellStyle name="Border, Top" xfId="1605"/>
    <cellStyle name="Border, Top 2" xfId="1606"/>
    <cellStyle name="Border_AGRO3 Valuation Model" xfId="1607"/>
    <cellStyle name="bordert thin" xfId="1608"/>
    <cellStyle name="bordert thin 2" xfId="1609"/>
    <cellStyle name="Bottom Edge" xfId="1610"/>
    <cellStyle name="bottom-title" xfId="1611"/>
    <cellStyle name="bps" xfId="1612"/>
    <cellStyle name="bps 2" xfId="1613"/>
    <cellStyle name="British Pound" xfId="1614"/>
    <cellStyle name="BritPound" xfId="1615"/>
    <cellStyle name="Buena" xfId="1616"/>
    <cellStyle name="Bullet" xfId="1617"/>
    <cellStyle name="Business Description" xfId="1618"/>
    <cellStyle name="c" xfId="1619"/>
    <cellStyle name="c 2" xfId="1620"/>
    <cellStyle name="c_HardInc" xfId="1621"/>
    <cellStyle name="c_HardInc " xfId="1622"/>
    <cellStyle name="c_HardInc _5. Synergies Seara" xfId="1623"/>
    <cellStyle name="c_HardInc _Catalog" xfId="1624"/>
    <cellStyle name="c_HardInc _Catalog 2" xfId="1625"/>
    <cellStyle name="c_HardInc _Estacio_Oficial_ANA_outsource_test" xfId="1626"/>
    <cellStyle name="c_HardInc _JapaneseCatalog" xfId="1627"/>
    <cellStyle name="c_HardInc _RRS1" xfId="1628"/>
    <cellStyle name="c_HardInc _RRS6" xfId="1629"/>
    <cellStyle name="c_HardInc _SEB_Oficial_ANA_outsource_test" xfId="1630"/>
    <cellStyle name="c_HardInc _SEB_Oficial_ANA_outsource_test 2" xfId="1631"/>
    <cellStyle name="c_HardInc _WORKING prjget2007_new" xfId="1632"/>
    <cellStyle name="c_Raw_financials" xfId="1633"/>
    <cellStyle name="c_Raw_financials 2" xfId="1634"/>
    <cellStyle name="C05_Style E Text" xfId="1635"/>
    <cellStyle name="Cabecera 1" xfId="1636"/>
    <cellStyle name="Cabecera 2" xfId="1637"/>
    <cellStyle name="Calc Cells" xfId="1638"/>
    <cellStyle name="Calc Currency (0)" xfId="1639"/>
    <cellStyle name="Calculation 2" xfId="1640"/>
    <cellStyle name="Calculation 2 2" xfId="1641"/>
    <cellStyle name="Calculation 3" xfId="1642"/>
    <cellStyle name="Calculation 3 2" xfId="1643"/>
    <cellStyle name="Calculation 4" xfId="1644"/>
    <cellStyle name="Calculation 4 2" xfId="1645"/>
    <cellStyle name="Calculation 5" xfId="1646"/>
    <cellStyle name="Calculation 5 2" xfId="1647"/>
    <cellStyle name="Cálculo" xfId="1648"/>
    <cellStyle name="Cálculo 2" xfId="1649"/>
    <cellStyle name="Cálculo 3" xfId="1650"/>
    <cellStyle name="Cálculo 4" xfId="1651"/>
    <cellStyle name="Cálculo 5" xfId="1652"/>
    <cellStyle name="Cálculo 6" xfId="1653"/>
    <cellStyle name="Case" xfId="1654"/>
    <cellStyle name="Case 2" xfId="1655"/>
    <cellStyle name="CashFlow" xfId="1656"/>
    <cellStyle name="CashFlow 2" xfId="1657"/>
    <cellStyle name="Celda de comprobación" xfId="1658"/>
    <cellStyle name="Celda vinculada" xfId="1659"/>
    <cellStyle name="Célula de Verificação" xfId="1660"/>
    <cellStyle name="Célula de Verificação 2" xfId="1661"/>
    <cellStyle name="Célula de Verificação 3" xfId="1662"/>
    <cellStyle name="Célula de Verificação 4" xfId="1663"/>
    <cellStyle name="Célula de Verificação 5" xfId="1664"/>
    <cellStyle name="Célula de Verificação 6" xfId="1665"/>
    <cellStyle name="Célula Vinculada" xfId="1666"/>
    <cellStyle name="Célula Vinculada 2" xfId="1667"/>
    <cellStyle name="Célula Vinculada 3" xfId="1668"/>
    <cellStyle name="Célula Vinculada 4" xfId="1669"/>
    <cellStyle name="Célula Vinculada 5" xfId="1670"/>
    <cellStyle name="Célula Vinculada 6" xfId="1671"/>
    <cellStyle name="center" xfId="1672"/>
    <cellStyle name="Centrado" xfId="1673"/>
    <cellStyle name="Cents" xfId="1674"/>
    <cellStyle name="Change" xfId="1675"/>
    <cellStyle name="Changeable" xfId="1676"/>
    <cellStyle name="Check Cell 2" xfId="1677"/>
    <cellStyle name="Check Cell 2 2" xfId="1678"/>
    <cellStyle name="Check Cell 3" xfId="1679"/>
    <cellStyle name="Check Cell 3 2" xfId="1680"/>
    <cellStyle name="Check Cell 4" xfId="1681"/>
    <cellStyle name="Check Cell 4 2" xfId="1682"/>
    <cellStyle name="Check Cell 5" xfId="1683"/>
    <cellStyle name="Check Cell 5 2" xfId="1684"/>
    <cellStyle name="clear" xfId="1685"/>
    <cellStyle name="clear purple comma" xfId="1686"/>
    <cellStyle name="CLEAR_Raw_financials" xfId="1687"/>
    <cellStyle name="cnt title" xfId="1688"/>
    <cellStyle name="Co. Names" xfId="1689"/>
    <cellStyle name="Co. Names - Bold" xfId="1690"/>
    <cellStyle name="Co. Names_Blend" xfId="1691"/>
    <cellStyle name="Code" xfId="1692"/>
    <cellStyle name="Col Head" xfId="1693"/>
    <cellStyle name="Col head bold" xfId="1694"/>
    <cellStyle name="Col head light" xfId="1695"/>
    <cellStyle name="COL HEADINGS" xfId="1696"/>
    <cellStyle name="COL HEADINGS 2" xfId="1697"/>
    <cellStyle name="COL HEADINGS 3" xfId="1698"/>
    <cellStyle name="COL HEADINGS 4" xfId="1699"/>
    <cellStyle name="Colhead_left" xfId="1700"/>
    <cellStyle name="ColHeading" xfId="1701"/>
    <cellStyle name="color" xfId="1702"/>
    <cellStyle name="Column Head" xfId="1703"/>
    <cellStyle name="Column Headings" xfId="1704"/>
    <cellStyle name="ColumnHeadings" xfId="1705"/>
    <cellStyle name="ColumnHeadings2" xfId="1706"/>
    <cellStyle name="ColumnHeadings2 2" xfId="1707"/>
    <cellStyle name="ColumnHeadings2 3" xfId="1708"/>
    <cellStyle name="ColumnHeadings2 4" xfId="1709"/>
    <cellStyle name="coma" xfId="1710"/>
    <cellStyle name="Coma1" xfId="1711"/>
    <cellStyle name="comm" xfId="1712"/>
    <cellStyle name="Comma  - Style1" xfId="1713"/>
    <cellStyle name="Comma  - Style2" xfId="1714"/>
    <cellStyle name="Comma  - Style3" xfId="1715"/>
    <cellStyle name="Comma  - Style4" xfId="1716"/>
    <cellStyle name="Comma  - Style5" xfId="1717"/>
    <cellStyle name="Comma  - Style6" xfId="1718"/>
    <cellStyle name="Comma  - Style7" xfId="1719"/>
    <cellStyle name="Comma  - Style8" xfId="1720"/>
    <cellStyle name="comma (1)" xfId="1721"/>
    <cellStyle name="Comma [1]" xfId="1722"/>
    <cellStyle name="Comma [1] 2" xfId="1723"/>
    <cellStyle name="Comma [2]" xfId="1724"/>
    <cellStyle name="Comma [2] 2" xfId="1725"/>
    <cellStyle name="Comma [3]" xfId="1726"/>
    <cellStyle name="Comma [3] 2" xfId="1727"/>
    <cellStyle name="Comma [4]" xfId="1728"/>
    <cellStyle name="Comma 0" xfId="1729"/>
    <cellStyle name="Comma 0*" xfId="1730"/>
    <cellStyle name="Comma 0_ACCC" xfId="1731"/>
    <cellStyle name="Comma 1" xfId="1732"/>
    <cellStyle name="Comma 1 Btons" xfId="1733"/>
    <cellStyle name="Comma 1 Tcf" xfId="1734"/>
    <cellStyle name="Comma 1_Book2" xfId="1735"/>
    <cellStyle name="Comma 10" xfId="1736"/>
    <cellStyle name="Comma 10 2" xfId="1737"/>
    <cellStyle name="Comma 11" xfId="1738"/>
    <cellStyle name="Comma 11 2" xfId="1739"/>
    <cellStyle name="Comma 12" xfId="1740"/>
    <cellStyle name="Comma 12 2" xfId="1741"/>
    <cellStyle name="Comma 13" xfId="1742"/>
    <cellStyle name="Comma 13 2" xfId="1743"/>
    <cellStyle name="Comma 14" xfId="1744"/>
    <cellStyle name="Comma 14 2" xfId="1745"/>
    <cellStyle name="Comma 15" xfId="1746"/>
    <cellStyle name="Comma 15 2" xfId="1747"/>
    <cellStyle name="Comma 16" xfId="1748"/>
    <cellStyle name="Comma 16 2" xfId="1749"/>
    <cellStyle name="Comma 17" xfId="1750"/>
    <cellStyle name="Comma 17 2" xfId="1751"/>
    <cellStyle name="Comma 18" xfId="1752"/>
    <cellStyle name="Comma 18 2" xfId="1753"/>
    <cellStyle name="Comma 19" xfId="1754"/>
    <cellStyle name="Comma 19 2" xfId="1755"/>
    <cellStyle name="Comma 2" xfId="1756"/>
    <cellStyle name="Comma 2 2" xfId="1757"/>
    <cellStyle name="Comma 2 3" xfId="1758"/>
    <cellStyle name="Comma 2*" xfId="1759"/>
    <cellStyle name="Comma 2_2. Operating Expenses" xfId="1760"/>
    <cellStyle name="Comma 20" xfId="1761"/>
    <cellStyle name="Comma 20 2" xfId="1762"/>
    <cellStyle name="Comma 21" xfId="1763"/>
    <cellStyle name="Comma 21 2" xfId="1764"/>
    <cellStyle name="Comma 22" xfId="1765"/>
    <cellStyle name="Comma 23" xfId="1766"/>
    <cellStyle name="Comma 24" xfId="1767"/>
    <cellStyle name="Comma 25" xfId="1768"/>
    <cellStyle name="Comma 26" xfId="1769"/>
    <cellStyle name="Comma 27" xfId="1770"/>
    <cellStyle name="Comma 28" xfId="1771"/>
    <cellStyle name="Comma 29" xfId="1772"/>
    <cellStyle name="Comma 3" xfId="1773"/>
    <cellStyle name="Comma 3 2" xfId="1774"/>
    <cellStyle name="Comma 3 3" xfId="1775"/>
    <cellStyle name="Comma 3 3 2" xfId="1776"/>
    <cellStyle name="Comma 3 3 2 2" xfId="1777"/>
    <cellStyle name="Comma 3 3 3" xfId="1778"/>
    <cellStyle name="Comma 3 3 3 2" xfId="1779"/>
    <cellStyle name="Comma 3 3 4" xfId="1780"/>
    <cellStyle name="Comma 3 4" xfId="1781"/>
    <cellStyle name="Comma 3 4 2" xfId="1782"/>
    <cellStyle name="Comma 3 5" xfId="1783"/>
    <cellStyle name="Comma 3 5 2" xfId="1784"/>
    <cellStyle name="Comma 3*" xfId="1785"/>
    <cellStyle name="Comma 30" xfId="1786"/>
    <cellStyle name="Comma 31" xfId="1787"/>
    <cellStyle name="Comma 32" xfId="1788"/>
    <cellStyle name="Comma 33" xfId="1789"/>
    <cellStyle name="Comma 34" xfId="1790"/>
    <cellStyle name="Comma 35" xfId="1791"/>
    <cellStyle name="Comma 36" xfId="1792"/>
    <cellStyle name="Comma 37" xfId="1793"/>
    <cellStyle name="Comma 38" xfId="1794"/>
    <cellStyle name="Comma 39" xfId="1795"/>
    <cellStyle name="Comma 4" xfId="1796"/>
    <cellStyle name="Comma 4 2" xfId="1797"/>
    <cellStyle name="Comma 40" xfId="1798"/>
    <cellStyle name="Comma 5" xfId="1799"/>
    <cellStyle name="Comma 5 2" xfId="1800"/>
    <cellStyle name="Comma 55" xfId="1801"/>
    <cellStyle name="Comma 6" xfId="1802"/>
    <cellStyle name="Comma 6 2" xfId="1803"/>
    <cellStyle name="Comma 7" xfId="1804"/>
    <cellStyle name="Comma 7 2" xfId="1805"/>
    <cellStyle name="Comma 7 2 2" xfId="1806"/>
    <cellStyle name="Comma 7 2 2 2" xfId="1807"/>
    <cellStyle name="Comma 7 2 3" xfId="1808"/>
    <cellStyle name="Comma 7 2 3 2" xfId="1809"/>
    <cellStyle name="Comma 7 2 4" xfId="1810"/>
    <cellStyle name="Comma 7 3" xfId="1811"/>
    <cellStyle name="Comma 7 3 2" xfId="1812"/>
    <cellStyle name="Comma 7 4" xfId="1813"/>
    <cellStyle name="Comma 7 4 2" xfId="1814"/>
    <cellStyle name="Comma 7 5" xfId="1815"/>
    <cellStyle name="Comma 7 6" xfId="1816"/>
    <cellStyle name="Comma 8" xfId="1817"/>
    <cellStyle name="Comma 8 2" xfId="1818"/>
    <cellStyle name="Comma 9" xfId="1819"/>
    <cellStyle name="Comma 9 2" xfId="1820"/>
    <cellStyle name="Comma Cents" xfId="1821"/>
    <cellStyle name="Comma Cents 2" xfId="1822"/>
    <cellStyle name="Comma Comma" xfId="1823"/>
    <cellStyle name="Comma Comma [0]" xfId="1824"/>
    <cellStyle name="Comma Comma 10" xfId="1825"/>
    <cellStyle name="Comma Comma 10 2" xfId="1826"/>
    <cellStyle name="Comma Comma 10 3" xfId="1827"/>
    <cellStyle name="Comma Comma 10 4" xfId="1828"/>
    <cellStyle name="Comma Comma 11" xfId="1829"/>
    <cellStyle name="Comma Comma 11 2" xfId="1830"/>
    <cellStyle name="Comma Comma 11 3" xfId="1831"/>
    <cellStyle name="Comma Comma 11 4" xfId="1832"/>
    <cellStyle name="Comma Comma 12" xfId="1833"/>
    <cellStyle name="Comma Comma 12 2" xfId="1834"/>
    <cellStyle name="Comma Comma 12 3" xfId="1835"/>
    <cellStyle name="Comma Comma 12 4" xfId="1836"/>
    <cellStyle name="Comma Comma 13" xfId="1837"/>
    <cellStyle name="Comma Comma 13 2" xfId="1838"/>
    <cellStyle name="Comma Comma 13 3" xfId="1839"/>
    <cellStyle name="Comma Comma 13 4" xfId="1840"/>
    <cellStyle name="Comma Comma 14" xfId="1841"/>
    <cellStyle name="Comma Comma 14 2" xfId="1842"/>
    <cellStyle name="Comma Comma 14 3" xfId="1843"/>
    <cellStyle name="Comma Comma 14 4" xfId="1844"/>
    <cellStyle name="Comma Comma 15" xfId="1845"/>
    <cellStyle name="Comma Comma 15 2" xfId="1846"/>
    <cellStyle name="Comma Comma 15 3" xfId="1847"/>
    <cellStyle name="Comma Comma 15 4" xfId="1848"/>
    <cellStyle name="Comma Comma 16" xfId="1849"/>
    <cellStyle name="Comma Comma 16 2" xfId="1850"/>
    <cellStyle name="Comma Comma 16 3" xfId="1851"/>
    <cellStyle name="Comma Comma 16 4" xfId="1852"/>
    <cellStyle name="Comma Comma 17" xfId="1853"/>
    <cellStyle name="Comma Comma 17 2" xfId="1854"/>
    <cellStyle name="Comma Comma 17 3" xfId="1855"/>
    <cellStyle name="Comma Comma 17 4" xfId="1856"/>
    <cellStyle name="Comma Comma 18" xfId="1857"/>
    <cellStyle name="Comma Comma 19" xfId="1858"/>
    <cellStyle name="Comma Comma 2" xfId="1859"/>
    <cellStyle name="Comma Comma 2 2" xfId="1860"/>
    <cellStyle name="Comma Comma 2 3" xfId="1861"/>
    <cellStyle name="Comma Comma 2 4" xfId="1862"/>
    <cellStyle name="Comma Comma 20" xfId="1863"/>
    <cellStyle name="Comma Comma 21" xfId="1864"/>
    <cellStyle name="Comma Comma 22" xfId="1865"/>
    <cellStyle name="Comma Comma 3" xfId="1866"/>
    <cellStyle name="Comma Comma 3 2" xfId="1867"/>
    <cellStyle name="Comma Comma 3 3" xfId="1868"/>
    <cellStyle name="Comma Comma 3 4" xfId="1869"/>
    <cellStyle name="Comma Comma 4" xfId="1870"/>
    <cellStyle name="Comma Comma 4 2" xfId="1871"/>
    <cellStyle name="Comma Comma 4 3" xfId="1872"/>
    <cellStyle name="Comma Comma 4 4" xfId="1873"/>
    <cellStyle name="Comma Comma 5" xfId="1874"/>
    <cellStyle name="Comma Comma 5 2" xfId="1875"/>
    <cellStyle name="Comma Comma 5 3" xfId="1876"/>
    <cellStyle name="Comma Comma 5 4" xfId="1877"/>
    <cellStyle name="Comma Comma 6" xfId="1878"/>
    <cellStyle name="Comma Comma 6 2" xfId="1879"/>
    <cellStyle name="Comma Comma 6 3" xfId="1880"/>
    <cellStyle name="Comma Comma 6 4" xfId="1881"/>
    <cellStyle name="Comma Comma 7" xfId="1882"/>
    <cellStyle name="Comma Comma 7 2" xfId="1883"/>
    <cellStyle name="Comma Comma 7 3" xfId="1884"/>
    <cellStyle name="Comma Comma 7 4" xfId="1885"/>
    <cellStyle name="Comma Comma 8" xfId="1886"/>
    <cellStyle name="Comma Comma 8 2" xfId="1887"/>
    <cellStyle name="Comma Comma 8 3" xfId="1888"/>
    <cellStyle name="Comma Comma 8 4" xfId="1889"/>
    <cellStyle name="Comma Comma 9" xfId="1890"/>
    <cellStyle name="Comma Comma 9 2" xfId="1891"/>
    <cellStyle name="Comma Comma 9 3" xfId="1892"/>
    <cellStyle name="Comma Comma 9 4" xfId="1893"/>
    <cellStyle name="Comma Comma_Raw_financials" xfId="1894"/>
    <cellStyle name="Comma dash" xfId="1895"/>
    <cellStyle name="Comma Input" xfId="1896"/>
    <cellStyle name="Comma Input 2" xfId="1897"/>
    <cellStyle name="Comma(0)" xfId="1898"/>
    <cellStyle name="Comma(1)" xfId="1899"/>
    <cellStyle name="comma(2)" xfId="1900"/>
    <cellStyle name="Comma(3)" xfId="1901"/>
    <cellStyle name="Comma(3) 2" xfId="1902"/>
    <cellStyle name="Comma*" xfId="1903"/>
    <cellStyle name="Comma, 1 dec" xfId="1904"/>
    <cellStyle name="Comma0" xfId="1905"/>
    <cellStyle name="Comma0 - Modelo1" xfId="1906"/>
    <cellStyle name="Comma0 - Style1" xfId="1907"/>
    <cellStyle name="Comma1" xfId="1908"/>
    <cellStyle name="Comma1 - Modelo2" xfId="1909"/>
    <cellStyle name="Comma1 - Style2" xfId="1910"/>
    <cellStyle name="Comma2" xfId="1911"/>
    <cellStyle name="comman" xfId="1912"/>
    <cellStyle name="Comma-Rounded" xfId="1913"/>
    <cellStyle name="commas" xfId="1914"/>
    <cellStyle name="CommaU [0]" xfId="1915"/>
    <cellStyle name="CommaU [1]" xfId="1916"/>
    <cellStyle name="CommaU [2]" xfId="1917"/>
    <cellStyle name="Comment" xfId="1918"/>
    <cellStyle name="Company" xfId="1919"/>
    <cellStyle name="Company name" xfId="1920"/>
    <cellStyle name="CompanyName" xfId="1921"/>
    <cellStyle name="CompanyTitle" xfId="1922"/>
    <cellStyle name="Control Check" xfId="1923"/>
    <cellStyle name="Copied" xfId="1924"/>
    <cellStyle name="Corpo" xfId="1925"/>
    <cellStyle name="Cover" xfId="1926"/>
    <cellStyle name="Cover Date" xfId="1927"/>
    <cellStyle name="Cover Subtitle" xfId="1928"/>
    <cellStyle name="Cover Title" xfId="1929"/>
    <cellStyle name="Cover_Raw_financials" xfId="1930"/>
    <cellStyle name="Coverage" xfId="1931"/>
    <cellStyle name="Cur" xfId="1932"/>
    <cellStyle name="CurRatio" xfId="1933"/>
    <cellStyle name="Currency $" xfId="1934"/>
    <cellStyle name="Currency ($)" xfId="1935"/>
    <cellStyle name="Currency (£)" xfId="1936"/>
    <cellStyle name="Currency (1)" xfId="1937"/>
    <cellStyle name="Currency (2)" xfId="1938"/>
    <cellStyle name="Currency (3)" xfId="1939"/>
    <cellStyle name="Currency [1]" xfId="1940"/>
    <cellStyle name="Currency [1] 2" xfId="1941"/>
    <cellStyle name="Currency [2]" xfId="1942"/>
    <cellStyle name="Currency [2] 2" xfId="1943"/>
    <cellStyle name="Currency [3]" xfId="1944"/>
    <cellStyle name="Currency [3] 2" xfId="1945"/>
    <cellStyle name="Currency [4]" xfId="1946"/>
    <cellStyle name="Currency 0" xfId="1947"/>
    <cellStyle name="Currency 0 2" xfId="1948"/>
    <cellStyle name="Currency 0.0" xfId="1949"/>
    <cellStyle name="Currency 1" xfId="1950"/>
    <cellStyle name="Currency 1 2" xfId="1951"/>
    <cellStyle name="Currency 2" xfId="1952"/>
    <cellStyle name="Currency 2 2" xfId="1953"/>
    <cellStyle name="Currency 2*" xfId="1954"/>
    <cellStyle name="Currency 2_ALL_valuation_v3" xfId="1955"/>
    <cellStyle name="Currency 3" xfId="1956"/>
    <cellStyle name="Currency 3*" xfId="1957"/>
    <cellStyle name="Currency 3_IBE_Financial Model_2008-05-19_v15_Research" xfId="1958"/>
    <cellStyle name="Currency 4" xfId="1959"/>
    <cellStyle name="Currency 5" xfId="1960"/>
    <cellStyle name="Currency 6" xfId="1961"/>
    <cellStyle name="Currency 7" xfId="1962"/>
    <cellStyle name="Currency 8" xfId="1963"/>
    <cellStyle name="Currency 9" xfId="1964"/>
    <cellStyle name="Currency Comma Comma" xfId="1965"/>
    <cellStyle name="Currency Comma Comma 2" xfId="1966"/>
    <cellStyle name="Currency Comma Comma 2 2" xfId="1967"/>
    <cellStyle name="Currency Comma Comma 2 3" xfId="1968"/>
    <cellStyle name="Currency Comma Comma 2 4" xfId="1969"/>
    <cellStyle name="Currency Comma Comma 3" xfId="1970"/>
    <cellStyle name="Currency Comma Comma 4" xfId="1971"/>
    <cellStyle name="Currency Comma Comma 5" xfId="1972"/>
    <cellStyle name="Currency Input" xfId="1973"/>
    <cellStyle name="Currency Input 2" xfId="1974"/>
    <cellStyle name="Currency Per Share" xfId="1975"/>
    <cellStyle name="currency(0)" xfId="1976"/>
    <cellStyle name="Currency(1)" xfId="1977"/>
    <cellStyle name="Currency(2)" xfId="1978"/>
    <cellStyle name="Currency(2) 2" xfId="1979"/>
    <cellStyle name="Currency(2) 3" xfId="1980"/>
    <cellStyle name="Currency(2) 4" xfId="1981"/>
    <cellStyle name="Currency*" xfId="1982"/>
    <cellStyle name="Currency0" xfId="1983"/>
    <cellStyle name="Currency0 2" xfId="1984"/>
    <cellStyle name="Currency1" xfId="1985"/>
    <cellStyle name="Currency2" xfId="1986"/>
    <cellStyle name="Currency-Rounded" xfId="1987"/>
    <cellStyle name="Currsmall" xfId="1988"/>
    <cellStyle name="custom" xfId="1989"/>
    <cellStyle name="d" xfId="1990"/>
    <cellStyle name="d_Raw_financials" xfId="1991"/>
    <cellStyle name="d_Raw_financials_BRF Valuation Model" xfId="1992"/>
    <cellStyle name="d_yield" xfId="1993"/>
    <cellStyle name="DARK" xfId="1994"/>
    <cellStyle name="Dash" xfId="1995"/>
    <cellStyle name="data" xfId="1996"/>
    <cellStyle name="Data Link" xfId="1997"/>
    <cellStyle name="data top 2" xfId="1998"/>
    <cellStyle name="Data_0dp" xfId="1999"/>
    <cellStyle name="DataBases" xfId="2000"/>
    <cellStyle name="DATASTYLE" xfId="2001"/>
    <cellStyle name="DataToHide" xfId="2002"/>
    <cellStyle name="date" xfId="2003"/>
    <cellStyle name="Date [mmm-yy]" xfId="2004"/>
    <cellStyle name="Date [mmm-yy] 2" xfId="2005"/>
    <cellStyle name="Date + Time" xfId="2006"/>
    <cellStyle name="Date 10" xfId="2007"/>
    <cellStyle name="Date 11" xfId="2008"/>
    <cellStyle name="Date 12" xfId="2009"/>
    <cellStyle name="Date 13" xfId="2010"/>
    <cellStyle name="Date 14" xfId="2011"/>
    <cellStyle name="Date 15" xfId="2012"/>
    <cellStyle name="Date 16" xfId="2013"/>
    <cellStyle name="Date 17" xfId="2014"/>
    <cellStyle name="Date 2" xfId="2015"/>
    <cellStyle name="Date 3" xfId="2016"/>
    <cellStyle name="Date 4" xfId="2017"/>
    <cellStyle name="Date 5" xfId="2018"/>
    <cellStyle name="Date 6" xfId="2019"/>
    <cellStyle name="Date 7" xfId="2020"/>
    <cellStyle name="Date 8" xfId="2021"/>
    <cellStyle name="Date 9" xfId="2022"/>
    <cellStyle name="Date Aligned" xfId="2023"/>
    <cellStyle name="Date Aligned 2" xfId="2024"/>
    <cellStyle name="Date Aligned*" xfId="2025"/>
    <cellStyle name="Date Aligned_ALL_valuation_v3" xfId="2026"/>
    <cellStyle name="Date Line" xfId="2027"/>
    <cellStyle name="Date m/d/yy" xfId="2028"/>
    <cellStyle name="Date m/d/yy 2" xfId="2029"/>
    <cellStyle name="Date, mmm-yy" xfId="2030"/>
    <cellStyle name="Date_3YRPLAN3" xfId="2031"/>
    <cellStyle name="Date1" xfId="2032"/>
    <cellStyle name="Date2" xfId="2033"/>
    <cellStyle name="Dates" xfId="2034"/>
    <cellStyle name="Dates 2" xfId="2035"/>
    <cellStyle name="DateYear" xfId="2036"/>
    <cellStyle name="Datum" xfId="2037"/>
    <cellStyle name="days" xfId="2038"/>
    <cellStyle name="days 2" xfId="2039"/>
    <cellStyle name="DBTemplate" xfId="2040"/>
    <cellStyle name="Dec_0" xfId="2041"/>
    <cellStyle name="Decimal" xfId="2042"/>
    <cellStyle name="decimal 1" xfId="2043"/>
    <cellStyle name="Decimal 10" xfId="2044"/>
    <cellStyle name="Decimal 11" xfId="2045"/>
    <cellStyle name="Decimal 12" xfId="2046"/>
    <cellStyle name="Decimal 13" xfId="2047"/>
    <cellStyle name="Decimal 14" xfId="2048"/>
    <cellStyle name="Decimal 15" xfId="2049"/>
    <cellStyle name="Decimal 16" xfId="2050"/>
    <cellStyle name="Decimal 17" xfId="2051"/>
    <cellStyle name="Decimal 18" xfId="2052"/>
    <cellStyle name="decimal 2" xfId="2053"/>
    <cellStyle name="default" xfId="2054"/>
    <cellStyle name="Derive" xfId="2055"/>
    <cellStyle name="Dollar" xfId="2056"/>
    <cellStyle name="Dollars" xfId="2057"/>
    <cellStyle name="DollarWhole" xfId="2058"/>
    <cellStyle name="Dotted Line" xfId="2059"/>
    <cellStyle name="Dotted Line 2" xfId="2060"/>
    <cellStyle name="Double Accounting" xfId="2061"/>
    <cellStyle name="Duizenden" xfId="2062"/>
    <cellStyle name="E" xfId="2063"/>
    <cellStyle name="E 2" xfId="2064"/>
    <cellStyle name="E 3" xfId="2065"/>
    <cellStyle name="E 4" xfId="2066"/>
    <cellStyle name="emp" xfId="2067"/>
    <cellStyle name="Entered" xfId="2068"/>
    <cellStyle name="Entities" xfId="2069"/>
    <cellStyle name="Entries" xfId="2070"/>
    <cellStyle name="Entry" xfId="2071"/>
    <cellStyle name="EPS" xfId="2072"/>
    <cellStyle name="eps$" xfId="2073"/>
    <cellStyle name="eps$A" xfId="2074"/>
    <cellStyle name="eps$E" xfId="2075"/>
    <cellStyle name="eps$E 2" xfId="2076"/>
    <cellStyle name="eps_AOL Model Master" xfId="2077"/>
    <cellStyle name="epsA" xfId="2078"/>
    <cellStyle name="epsA 2" xfId="2079"/>
    <cellStyle name="EPSActual" xfId="2080"/>
    <cellStyle name="EPSActual 2" xfId="2081"/>
    <cellStyle name="epsE" xfId="2082"/>
    <cellStyle name="epsE 2" xfId="2083"/>
    <cellStyle name="EPSEstimate" xfId="2084"/>
    <cellStyle name="Euro" xfId="2085"/>
    <cellStyle name="Euro 2" xfId="2086"/>
    <cellStyle name="ExchRate" xfId="2087"/>
    <cellStyle name="External File Cells" xfId="2088"/>
    <cellStyle name="FF" xfId="2089"/>
    <cellStyle name="FF 2" xfId="2090"/>
    <cellStyle name="Final_Data" xfId="2091"/>
    <cellStyle name="Financial" xfId="2092"/>
    <cellStyle name="Fit" xfId="2093"/>
    <cellStyle name="Fixed" xfId="2094"/>
    <cellStyle name="Fixed0" xfId="2095"/>
    <cellStyle name="Footer SBILogo1" xfId="2096"/>
    <cellStyle name="Footer SBILogo2" xfId="2097"/>
    <cellStyle name="Footnote" xfId="2098"/>
    <cellStyle name="Footnote Reference" xfId="2099"/>
    <cellStyle name="Footnote_ACCC" xfId="2100"/>
    <cellStyle name="Footnotes" xfId="2101"/>
    <cellStyle name="Forecast Cells" xfId="2102"/>
    <cellStyle name="fy_eps$" xfId="2103"/>
    <cellStyle name="g_rate" xfId="2104"/>
    <cellStyle name="g_rate_AOL_Model_Master" xfId="2105"/>
    <cellStyle name="G1_1999 figures" xfId="2106"/>
    <cellStyle name="General" xfId="2107"/>
    <cellStyle name="Grey" xfId="2108"/>
    <cellStyle name="GrowthRate" xfId="2109"/>
    <cellStyle name="GrowthSeq" xfId="2110"/>
    <cellStyle name="H_1998_col_head" xfId="2111"/>
    <cellStyle name="H_1998_col_head_AGU_model--JF" xfId="2112"/>
    <cellStyle name="H_1998_col_head_BHI" xfId="2113"/>
    <cellStyle name="H_1998_col_head_BHI_working7" xfId="2114"/>
    <cellStyle name="H_1998_col_head_BJS" xfId="2115"/>
    <cellStyle name="H_1998_col_head_bjs-working9" xfId="2116"/>
    <cellStyle name="H_1998_col_head_DOW clr model" xfId="2117"/>
    <cellStyle name="H_1998_col_head_EVA" xfId="2118"/>
    <cellStyle name="H_1998_col_head_HAL" xfId="2119"/>
    <cellStyle name="H_1998_col_head_HAL - 7" xfId="2120"/>
    <cellStyle name="H_1998_col_head_HALY_working13" xfId="2121"/>
    <cellStyle name="H_1998_col_head_IS" xfId="2122"/>
    <cellStyle name="H_1998_col_head_IS - Rptd" xfId="2123"/>
    <cellStyle name="H_1998_col_head_IS - Rptd_1" xfId="2124"/>
    <cellStyle name="H_1998_col_head_SII" xfId="2125"/>
    <cellStyle name="H_1998_col_head_SII-Post 3Q05 v4" xfId="2126"/>
    <cellStyle name="H_1998_col_head_SLB" xfId="2127"/>
    <cellStyle name="H_1998_col_head_SLB-working7" xfId="2128"/>
    <cellStyle name="H_1999_col_head" xfId="2129"/>
    <cellStyle name="H1_1998 figures" xfId="2130"/>
    <cellStyle name="hard no." xfId="2131"/>
    <cellStyle name="Hard Percent" xfId="2132"/>
    <cellStyle name="HardNo" xfId="2133"/>
    <cellStyle name="header" xfId="2134"/>
    <cellStyle name="Header Draft Stamp" xfId="2135"/>
    <cellStyle name="Header_ACCC" xfId="2136"/>
    <cellStyle name="Header1" xfId="2137"/>
    <cellStyle name="Header2" xfId="2138"/>
    <cellStyle name="headers" xfId="2139"/>
    <cellStyle name="Heading" xfId="2140"/>
    <cellStyle name="Heading 1 Above" xfId="2141"/>
    <cellStyle name="Heading 1+" xfId="2142"/>
    <cellStyle name="Heading 2 Below" xfId="2143"/>
    <cellStyle name="Heading 2+" xfId="2144"/>
    <cellStyle name="Heading 3+" xfId="2145"/>
    <cellStyle name="Heading1" xfId="2146"/>
    <cellStyle name="heading2" xfId="2147"/>
    <cellStyle name="heading2 2" xfId="2148"/>
    <cellStyle name="heading2 3" xfId="2149"/>
    <cellStyle name="heading2 4" xfId="2150"/>
    <cellStyle name="HEADINGS" xfId="2151"/>
    <cellStyle name="HEADINGS 2" xfId="2152"/>
    <cellStyle name="HEADINGS 3" xfId="2153"/>
    <cellStyle name="HEADINGS 4" xfId="2154"/>
    <cellStyle name="HEADINGSTOP" xfId="2155"/>
    <cellStyle name="Helv 9 ctr wrap" xfId="2156"/>
    <cellStyle name="Helv 9 ctr wrap 2" xfId="2157"/>
    <cellStyle name="Helv 9 ctr wrap 3" xfId="2158"/>
    <cellStyle name="Helv 9 ctr wrap 4" xfId="2159"/>
    <cellStyle name="Helv 9 lft wrap" xfId="2160"/>
    <cellStyle name="HIDDEN" xfId="2161"/>
    <cellStyle name="Hyperlink 2" xfId="2162"/>
    <cellStyle name="IncomeStatement" xfId="2163"/>
    <cellStyle name="Info_Main" xfId="2164"/>
    <cellStyle name="Input [yellow]" xfId="2165"/>
    <cellStyle name="Input Cells" xfId="2166"/>
    <cellStyle name="Input Currency" xfId="2167"/>
    <cellStyle name="Input Currency 2" xfId="2168"/>
    <cellStyle name="Input Currency 2 2" xfId="2169"/>
    <cellStyle name="Input Currency_BHI" xfId="2170"/>
    <cellStyle name="Input Multiple" xfId="2171"/>
    <cellStyle name="Input Percent" xfId="2172"/>
    <cellStyle name="InputCurrency" xfId="2173"/>
    <cellStyle name="InputCurrency2" xfId="2174"/>
    <cellStyle name="InputDateDMth" xfId="2175"/>
    <cellStyle name="InputDateNorm" xfId="2176"/>
    <cellStyle name="InputMultiple1" xfId="2177"/>
    <cellStyle name="InputPercent1" xfId="2178"/>
    <cellStyle name="Input-Text Only" xfId="2179"/>
    <cellStyle name="InputUlineNumeric" xfId="2180"/>
    <cellStyle name="InputUlineNumeric 2" xfId="2181"/>
    <cellStyle name="InputUlineNumeric 3" xfId="2182"/>
    <cellStyle name="InputUlineNumeric 4" xfId="2183"/>
    <cellStyle name="Integer" xfId="2184"/>
    <cellStyle name="Italics" xfId="2185"/>
    <cellStyle name="Item" xfId="2186"/>
    <cellStyle name="Item Descriptions" xfId="2187"/>
    <cellStyle name="Item Descriptions - Bold" xfId="2188"/>
    <cellStyle name="Item Descriptions_6079BX" xfId="2189"/>
    <cellStyle name="ItemTypeClass" xfId="2190"/>
    <cellStyle name="Jason" xfId="2191"/>
    <cellStyle name="lead" xfId="2192"/>
    <cellStyle name="Line" xfId="2193"/>
    <cellStyle name="LineBottom" xfId="2194"/>
    <cellStyle name="LineTop" xfId="2195"/>
    <cellStyle name="LookUpText" xfId="2196"/>
    <cellStyle name="LTGR" xfId="2197"/>
    <cellStyle name="m" xfId="2198"/>
    <cellStyle name="m$" xfId="2199"/>
    <cellStyle name="m_AOL_Model_Master" xfId="2200"/>
    <cellStyle name="m_AOL_Model_Master 2" xfId="2201"/>
    <cellStyle name="mag" xfId="2202"/>
    <cellStyle name="Mainhead" xfId="2203"/>
    <cellStyle name="Major item" xfId="2204"/>
    <cellStyle name="Margin" xfId="2205"/>
    <cellStyle name="Margins" xfId="2206"/>
    <cellStyle name="Merrill" xfId="2207"/>
    <cellStyle name="Migliaia (0)_Bourse" xfId="2208"/>
    <cellStyle name="Migliaia_Bourse" xfId="2209"/>
    <cellStyle name="Millares [0]_pldt" xfId="2210"/>
    <cellStyle name="Millares_pldt" xfId="2211"/>
    <cellStyle name="Milliers [0]_pldt" xfId="2212"/>
    <cellStyle name="Milliers_pldt" xfId="2213"/>
    <cellStyle name="Mix" xfId="2214"/>
    <cellStyle name="mm" xfId="2215"/>
    <cellStyle name="MMs1Place" xfId="2216"/>
    <cellStyle name="mo" xfId="2217"/>
    <cellStyle name="Moneda [0]_CARGOS" xfId="2218"/>
    <cellStyle name="Moneda_CARGOS" xfId="2219"/>
    <cellStyle name="Monitor" xfId="2220"/>
    <cellStyle name="MS_Arabic" xfId="2221"/>
    <cellStyle name="muiltiple" xfId="2222"/>
    <cellStyle name="Multiple" xfId="2223"/>
    <cellStyle name="Multiple (no x)" xfId="2224"/>
    <cellStyle name="Multiple 2" xfId="2225"/>
    <cellStyle name="Multiple1" xfId="2226"/>
    <cellStyle name="MultipleBelow" xfId="2227"/>
    <cellStyle name="no dec" xfId="2228"/>
    <cellStyle name="Normal - Style1" xfId="2229"/>
    <cellStyle name="Normal 10" xfId="2230"/>
    <cellStyle name="Normal 10 2" xfId="2231"/>
    <cellStyle name="Normal 10 3" xfId="2232"/>
    <cellStyle name="Normal 11" xfId="2233"/>
    <cellStyle name="Normal 12" xfId="2234"/>
    <cellStyle name="Normal 12 2 3" xfId="2235"/>
    <cellStyle name="Normal 13" xfId="2236"/>
    <cellStyle name="Normal 14" xfId="2237"/>
    <cellStyle name="Normal 15" xfId="2238"/>
    <cellStyle name="Normal 16" xfId="2239"/>
    <cellStyle name="Normal 17" xfId="2240"/>
    <cellStyle name="Normal 18" xfId="2241"/>
    <cellStyle name="Normal 19" xfId="2242"/>
    <cellStyle name="Normal 2" xfId="2243"/>
    <cellStyle name="Normal 2 2" xfId="2244"/>
    <cellStyle name="Normal 2 3" xfId="2245"/>
    <cellStyle name="Normal 2 4" xfId="2246"/>
    <cellStyle name="Normal 2 5" xfId="2247"/>
    <cellStyle name="Normal 20" xfId="2248"/>
    <cellStyle name="Normal 21" xfId="2249"/>
    <cellStyle name="Normal 22" xfId="2250"/>
    <cellStyle name="Normal 22 3" xfId="2251"/>
    <cellStyle name="Normal 23" xfId="2252"/>
    <cellStyle name="Normal 24" xfId="2253"/>
    <cellStyle name="Normal 25" xfId="2254"/>
    <cellStyle name="Normal 26" xfId="2255"/>
    <cellStyle name="Normal 27" xfId="2256"/>
    <cellStyle name="Normal 28" xfId="2257"/>
    <cellStyle name="Normal 29" xfId="2258"/>
    <cellStyle name="Normal 3" xfId="2259"/>
    <cellStyle name="Normal 3 2" xfId="2260"/>
    <cellStyle name="Normal 3 2 2" xfId="2261"/>
    <cellStyle name="Normal 3 2 2 2" xfId="2262"/>
    <cellStyle name="Normal 3 2 3" xfId="2263"/>
    <cellStyle name="Normal 3 3" xfId="2264"/>
    <cellStyle name="Normal 3 3 2" xfId="2265"/>
    <cellStyle name="Normal 3 4" xfId="2266"/>
    <cellStyle name="Normal 3 5" xfId="2267"/>
    <cellStyle name="Normal 30" xfId="2268"/>
    <cellStyle name="Normal 31" xfId="2269"/>
    <cellStyle name="Normal 32" xfId="2270"/>
    <cellStyle name="Normal 33" xfId="2271"/>
    <cellStyle name="Normal 34" xfId="2272"/>
    <cellStyle name="Normal 35" xfId="2273"/>
    <cellStyle name="Normal 36" xfId="2274"/>
    <cellStyle name="Normal 37" xfId="2275"/>
    <cellStyle name="Normal 38" xfId="2276"/>
    <cellStyle name="Normal 39" xfId="2277"/>
    <cellStyle name="Normal 4" xfId="2278"/>
    <cellStyle name="Normal 4 2" xfId="2279"/>
    <cellStyle name="Normal 4 2 2" xfId="2280"/>
    <cellStyle name="Normal 4 3" xfId="2281"/>
    <cellStyle name="Normal 40" xfId="2282"/>
    <cellStyle name="Normal 41" xfId="2283"/>
    <cellStyle name="Normal 42" xfId="2284"/>
    <cellStyle name="Normal 43" xfId="2285"/>
    <cellStyle name="Normal 44" xfId="2286"/>
    <cellStyle name="Normal 46" xfId="2287"/>
    <cellStyle name="Normal 48" xfId="2288"/>
    <cellStyle name="Normal 5" xfId="2289"/>
    <cellStyle name="Normal 5 2" xfId="2290"/>
    <cellStyle name="Normal 6" xfId="2291"/>
    <cellStyle name="Normal 6 2" xfId="2292"/>
    <cellStyle name="Normal 6 3" xfId="2293"/>
    <cellStyle name="Normal 65" xfId="2294"/>
    <cellStyle name="Normal 65 2" xfId="2295"/>
    <cellStyle name="Normal 7" xfId="2296"/>
    <cellStyle name="Normal 7 2" xfId="2297"/>
    <cellStyle name="Normal 7 2 2" xfId="2298"/>
    <cellStyle name="Normal 7 3" xfId="2299"/>
    <cellStyle name="Normal 7 4" xfId="2300"/>
    <cellStyle name="Normal 8" xfId="2301"/>
    <cellStyle name="Normal 8 2" xfId="2302"/>
    <cellStyle name="Normal 8 2 2" xfId="2303"/>
    <cellStyle name="Normal 8 2 3" xfId="2304"/>
    <cellStyle name="Normal 8 3" xfId="2305"/>
    <cellStyle name="Normal 9" xfId="2306"/>
    <cellStyle name="Normal 92" xfId="2307"/>
    <cellStyle name="Normal Cells" xfId="2308"/>
    <cellStyle name="Normal2" xfId="2309"/>
    <cellStyle name="Normal2 2" xfId="2310"/>
    <cellStyle name="Normale_Bourse" xfId="2311"/>
    <cellStyle name="NormalGB" xfId="2312"/>
    <cellStyle name="Number" xfId="2313"/>
    <cellStyle name="number2" xfId="2314"/>
    <cellStyle name="Numbers" xfId="2315"/>
    <cellStyle name="Numbers - Bold" xfId="2316"/>
    <cellStyle name="Numbers - Bold - Italic" xfId="2317"/>
    <cellStyle name="Numbers - Bold_Blend" xfId="2318"/>
    <cellStyle name="Numbers - Large" xfId="2319"/>
    <cellStyle name="Numbers_Comps" xfId="2320"/>
    <cellStyle name="OCT 97" xfId="2321"/>
    <cellStyle name="Original L1" xfId="2322"/>
    <cellStyle name="Original L2" xfId="2323"/>
    <cellStyle name="Original L3" xfId="2324"/>
    <cellStyle name="Original Space" xfId="2325"/>
    <cellStyle name="OSW_ColumnLabels" xfId="2326"/>
    <cellStyle name="OUTPUT AMOUNTS" xfId="2327"/>
    <cellStyle name="OUTPUT COLUMN HEADINGS" xfId="2328"/>
    <cellStyle name="OUTPUT LINE ITEMS" xfId="2329"/>
    <cellStyle name="OUTPUT REPORT HEADING" xfId="2330"/>
    <cellStyle name="OUTPUT REPORT TITLE" xfId="2331"/>
    <cellStyle name="P/E" xfId="2332"/>
    <cellStyle name="Page" xfId="2333"/>
    <cellStyle name="Page header" xfId="2334"/>
    <cellStyle name="Page Number" xfId="2335"/>
    <cellStyle name="Palatino" xfId="2336"/>
    <cellStyle name="pe" xfId="2337"/>
    <cellStyle name="PE Multiple" xfId="2338"/>
    <cellStyle name="PE/LTGR" xfId="2339"/>
    <cellStyle name="PEG" xfId="2340"/>
    <cellStyle name="Per aandeel" xfId="2341"/>
    <cellStyle name="per.style" xfId="2342"/>
    <cellStyle name="Percent [1]" xfId="2343"/>
    <cellStyle name="Percent [2]" xfId="2344"/>
    <cellStyle name="Percent 10" xfId="2345"/>
    <cellStyle name="Percent 10 2" xfId="2346"/>
    <cellStyle name="Percent 11" xfId="2347"/>
    <cellStyle name="Percent 12" xfId="2348"/>
    <cellStyle name="Percent 13" xfId="2349"/>
    <cellStyle name="Percent 14" xfId="2350"/>
    <cellStyle name="Percent 15" xfId="2351"/>
    <cellStyle name="Percent 16" xfId="2352"/>
    <cellStyle name="Percent 17" xfId="2353"/>
    <cellStyle name="Percent 18" xfId="2354"/>
    <cellStyle name="Percent 19" xfId="2355"/>
    <cellStyle name="Percent 2" xfId="2356"/>
    <cellStyle name="Percent 2 2" xfId="2357"/>
    <cellStyle name="Percent 2 3" xfId="2358"/>
    <cellStyle name="Percent 20" xfId="2359"/>
    <cellStyle name="Percent 21" xfId="2360"/>
    <cellStyle name="Percent 22" xfId="2361"/>
    <cellStyle name="Percent 23" xfId="2362"/>
    <cellStyle name="Percent 24" xfId="2363"/>
    <cellStyle name="Percent 25" xfId="2364"/>
    <cellStyle name="Percent 26" xfId="2365"/>
    <cellStyle name="Percent 27" xfId="2366"/>
    <cellStyle name="Percent 28" xfId="2367"/>
    <cellStyle name="Percent 29" xfId="2368"/>
    <cellStyle name="Percent 3" xfId="2369"/>
    <cellStyle name="Percent 3 2" xfId="2370"/>
    <cellStyle name="Percent 30" xfId="2371"/>
    <cellStyle name="Percent 31" xfId="2372"/>
    <cellStyle name="Percent 32" xfId="2373"/>
    <cellStyle name="Percent 33" xfId="2374"/>
    <cellStyle name="Percent 34" xfId="2375"/>
    <cellStyle name="Percent 35" xfId="2376"/>
    <cellStyle name="Percent 36" xfId="2377"/>
    <cellStyle name="Percent 37" xfId="2378"/>
    <cellStyle name="Percent 38" xfId="2379"/>
    <cellStyle name="Percent 39" xfId="2380"/>
    <cellStyle name="Percent 4" xfId="2381"/>
    <cellStyle name="Percent 4 2" xfId="2382"/>
    <cellStyle name="Percent 40" xfId="2383"/>
    <cellStyle name="Percent 42" xfId="2384"/>
    <cellStyle name="Percent 44" xfId="2385"/>
    <cellStyle name="Percent 5" xfId="2386"/>
    <cellStyle name="Percent 6" xfId="2387"/>
    <cellStyle name="Percent 7" xfId="2388"/>
    <cellStyle name="Percent 8" xfId="2389"/>
    <cellStyle name="Percent 9" xfId="2390"/>
    <cellStyle name="Percent(1)" xfId="2391"/>
    <cellStyle name="Percent(1) 2" xfId="2392"/>
    <cellStyle name="Percent(1) 3" xfId="2393"/>
    <cellStyle name="Percent(1) 4" xfId="2394"/>
    <cellStyle name="Percent(1) 5" xfId="2395"/>
    <cellStyle name="Percent(3)" xfId="2396"/>
    <cellStyle name="Percent(3) 2" xfId="2397"/>
    <cellStyle name="Percent1" xfId="2398"/>
    <cellStyle name="percent3" xfId="2399"/>
    <cellStyle name="percent3 2" xfId="2400"/>
    <cellStyle name="Percentage" xfId="2401"/>
    <cellStyle name="PercentPresentation" xfId="2402"/>
    <cellStyle name="PerShare" xfId="2403"/>
    <cellStyle name="POPS" xfId="2404"/>
    <cellStyle name="Porcentagem 2" xfId="2405"/>
    <cellStyle name="pound" xfId="2406"/>
    <cellStyle name="Presentation" xfId="2407"/>
    <cellStyle name="PresentationZero" xfId="2408"/>
    <cellStyle name="Price" xfId="2409"/>
    <cellStyle name="Procenten" xfId="2410"/>
    <cellStyle name="Procenten estimate" xfId="2411"/>
    <cellStyle name="Procenten_EMI" xfId="2412"/>
    <cellStyle name="prot" xfId="2413"/>
    <cellStyle name="Punto" xfId="2414"/>
    <cellStyle name="q" xfId="2415"/>
    <cellStyle name="QEPS-h" xfId="2416"/>
    <cellStyle name="QEPS-H1" xfId="2417"/>
    <cellStyle name="QEPS-H1 2" xfId="2418"/>
    <cellStyle name="QEPS-H1 3" xfId="2419"/>
    <cellStyle name="QEPS-H1 4" xfId="2420"/>
    <cellStyle name="qRange" xfId="2421"/>
    <cellStyle name="r" xfId="2422"/>
    <cellStyle name="range" xfId="2423"/>
    <cellStyle name="regstoresfromspecstores" xfId="2424"/>
    <cellStyle name="Report" xfId="2425"/>
    <cellStyle name="results" xfId="2426"/>
    <cellStyle name="Reuters Cells" xfId="2427"/>
    <cellStyle name="Reuters Cells 2" xfId="2428"/>
    <cellStyle name="Reuters Cells 3" xfId="2429"/>
    <cellStyle name="Reuters Cells 4" xfId="2430"/>
    <cellStyle name="RevList" xfId="2431"/>
    <cellStyle name="s" xfId="2432"/>
    <cellStyle name="s_AGU_model--JF" xfId="2433"/>
    <cellStyle name="s_DOW clr model" xfId="2434"/>
    <cellStyle name="Salomon Logo" xfId="2435"/>
    <cellStyle name="SAPBEXstdData" xfId="2436"/>
    <cellStyle name="Shade" xfId="2437"/>
    <cellStyle name="ShadedCells_Database" xfId="2438"/>
    <cellStyle name="SHADEDSTORES" xfId="2439"/>
    <cellStyle name="Shading" xfId="2440"/>
    <cellStyle name="Share" xfId="2441"/>
    <cellStyle name="Share 2" xfId="2442"/>
    <cellStyle name="Share 3" xfId="2443"/>
    <cellStyle name="Share 4" xfId="2444"/>
    <cellStyle name="Shares" xfId="2445"/>
    <cellStyle name="Sheet Title" xfId="2446"/>
    <cellStyle name="ShOut" xfId="2447"/>
    <cellStyle name="Source" xfId="2448"/>
    <cellStyle name="Space" xfId="2449"/>
    <cellStyle name="specstores" xfId="2450"/>
    <cellStyle name="SS1000" xfId="2451"/>
    <cellStyle name="Standard_BLUE" xfId="2452"/>
    <cellStyle name="Stock price" xfId="2453"/>
    <cellStyle name="Style 1" xfId="2454"/>
    <cellStyle name="Style 2" xfId="2455"/>
    <cellStyle name="Style 24" xfId="2456"/>
    <cellStyle name="Style 26" xfId="2457"/>
    <cellStyle name="Style 27" xfId="2458"/>
    <cellStyle name="Style 3" xfId="2459"/>
    <cellStyle name="Style D green" xfId="2460"/>
    <cellStyle name="Style E" xfId="2461"/>
    <cellStyle name="Style H" xfId="2462"/>
    <cellStyle name="Sub total" xfId="2463"/>
    <cellStyle name="Subtotal" xfId="2464"/>
    <cellStyle name="Sum" xfId="2465"/>
    <cellStyle name="Swiss" xfId="2466"/>
    <cellStyle name="Swiss 2" xfId="2467"/>
    <cellStyle name="Swiss 3" xfId="2468"/>
    <cellStyle name="Synopsis" xfId="2469"/>
    <cellStyle name="t" xfId="2470"/>
    <cellStyle name="Table end" xfId="2471"/>
    <cellStyle name="Table head" xfId="2472"/>
    <cellStyle name="Table head 2" xfId="2473"/>
    <cellStyle name="Table head 3" xfId="2474"/>
    <cellStyle name="Table head 4" xfId="2475"/>
    <cellStyle name="Table Head Aligned" xfId="2476"/>
    <cellStyle name="Table Head Aligned 2" xfId="2477"/>
    <cellStyle name="Table Head Aligned 3" xfId="2478"/>
    <cellStyle name="Table Head Aligned 4" xfId="2479"/>
    <cellStyle name="Table Head Aligned 5" xfId="2480"/>
    <cellStyle name="Table Head Blue" xfId="2481"/>
    <cellStyle name="Table Head Green" xfId="2482"/>
    <cellStyle name="Table Head Green 2" xfId="2483"/>
    <cellStyle name="Table Head Green 3" xfId="2484"/>
    <cellStyle name="Table Head Green 4" xfId="2485"/>
    <cellStyle name="Table Head_4. Debt Schedule" xfId="2486"/>
    <cellStyle name="Table Source" xfId="2487"/>
    <cellStyle name="Table Text" xfId="2488"/>
    <cellStyle name="table text bold" xfId="2489"/>
    <cellStyle name="table text bold green" xfId="2490"/>
    <cellStyle name="table text bold_AGU_model--JF" xfId="2491"/>
    <cellStyle name="table text light" xfId="2492"/>
    <cellStyle name="Table Title" xfId="2493"/>
    <cellStyle name="Table Units" xfId="2494"/>
    <cellStyle name="Table_Title" xfId="2495"/>
    <cellStyle name="TableBody" xfId="2496"/>
    <cellStyle name="TableBodyR" xfId="2497"/>
    <cellStyle name="TableColHeads" xfId="2498"/>
    <cellStyle name="tcn" xfId="2499"/>
    <cellStyle name="Text" xfId="2500"/>
    <cellStyle name="Text 1" xfId="2501"/>
    <cellStyle name="Text 2" xfId="2502"/>
    <cellStyle name="Text Head" xfId="2503"/>
    <cellStyle name="Text Head 1" xfId="2504"/>
    <cellStyle name="Text Head 2" xfId="2505"/>
    <cellStyle name="Text Head_BHI" xfId="2506"/>
    <cellStyle name="Text Indent 1" xfId="2507"/>
    <cellStyle name="Text Indent 2" xfId="2508"/>
    <cellStyle name="Time" xfId="2509"/>
    <cellStyle name="Title - PROJECT" xfId="2510"/>
    <cellStyle name="Title - Underline" xfId="2511"/>
    <cellStyle name="Title1" xfId="2512"/>
    <cellStyle name="Title2" xfId="2513"/>
    <cellStyle name="TitleII" xfId="2514"/>
    <cellStyle name="Titles" xfId="2515"/>
    <cellStyle name="Titles - Col. Headings" xfId="2516"/>
    <cellStyle name="Titles - Other" xfId="2517"/>
    <cellStyle name="tn" xfId="2518"/>
    <cellStyle name="TOC 1" xfId="2519"/>
    <cellStyle name="TOC 2" xfId="2520"/>
    <cellStyle name="Total Currency" xfId="2521"/>
    <cellStyle name="Total Normal" xfId="2522"/>
    <cellStyle name="TotalCurrency" xfId="2523"/>
    <cellStyle name="TR 8" xfId="2524"/>
    <cellStyle name="TR 8B" xfId="2525"/>
    <cellStyle name="underline" xfId="2526"/>
    <cellStyle name="undernum" xfId="2527"/>
    <cellStyle name="unm" xfId="2528"/>
    <cellStyle name="Use_1dp" xfId="2529"/>
    <cellStyle name="UseB_1dp" xfId="2530"/>
    <cellStyle name="Validation" xfId="2531"/>
    <cellStyle name="Valuta (0)_Bourse" xfId="2532"/>
    <cellStyle name="Valuta_Bourse" xfId="2533"/>
    <cellStyle name="WhiteCells" xfId="2534"/>
    <cellStyle name="WholeNumber" xfId="2535"/>
    <cellStyle name="wild guess" xfId="2536"/>
    <cellStyle name="Wildguess" xfId="2537"/>
    <cellStyle name="x" xfId="2538"/>
    <cellStyle name="Year" xfId="2539"/>
    <cellStyle name="Year Estimate" xfId="2540"/>
    <cellStyle name="year_BHI" xfId="2541"/>
    <cellStyle name="Years" xfId="2542"/>
    <cellStyle name="years 2" xfId="2543"/>
    <cellStyle name="yen" xfId="2544"/>
    <cellStyle name="常规_全进度数据" xfId="254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5E76AA"/>
      <rgbColor rgb="00CFD6E6"/>
      <rgbColor rgb="009EADCC"/>
      <rgbColor rgb="00EFF1F6"/>
      <rgbColor rgb="00BFC8DD"/>
      <rgbColor rgb="008E9FC4"/>
      <rgbColor rgb="00DFE4EE"/>
      <rgbColor rgb="00AEBAD5"/>
      <rgbColor rgb="00000000"/>
      <rgbColor rgb="00AAAAAA"/>
      <rgbColor rgb="00444444"/>
      <rgbColor rgb="00CCCCCC"/>
      <rgbColor rgb="00888888"/>
      <rgbColor rgb="00666666"/>
      <rgbColor rgb="00EEEEEE"/>
      <rgbColor rgb="00222222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CC99FF"/>
      <color rgb="00FFFF99"/>
      <color rgb="00CCFFCC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11206</xdr:colOff>
      <xdr:row>1</xdr:row>
      <xdr:rowOff>89646</xdr:rowOff>
    </xdr:from>
    <xdr:to>
      <xdr:col>2</xdr:col>
      <xdr:colOff>17840</xdr:colOff>
      <xdr:row>7</xdr:row>
      <xdr:rowOff>112058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biLevel thresh="75000"/>
        </a:blip>
        <a:srcRect b="9562"/>
        <a:stretch>
          <a:fillRect/>
        </a:stretch>
      </xdr:blipFill>
      <xdr:spPr>
        <a:xfrm>
          <a:off x="189865" y="251460"/>
          <a:ext cx="1695450" cy="154622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carly.chasen@gs.com" TargetMode="External"/><Relationship Id="rId3" Type="http://schemas.openxmlformats.org/officeDocument/2006/relationships/hyperlink" Target="mailto:mentesnot.adamu@gs.com" TargetMode="External"/><Relationship Id="rId2" Type="http://schemas.openxmlformats.org/officeDocument/2006/relationships/customProperty" Target="../customProperty1.bin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autoPageBreaks="0"/>
  </sheetPr>
  <dimension ref="B1:L26"/>
  <sheetViews>
    <sheetView showGridLines="0" zoomScale="85" zoomScaleNormal="85" workbookViewId="0">
      <pane ySplit="8" topLeftCell="A9" activePane="bottomLeft" state="frozen"/>
      <selection/>
      <selection pane="bottomLeft" activeCell="U17" sqref="U17"/>
    </sheetView>
  </sheetViews>
  <sheetFormatPr defaultColWidth="9.14423076923077" defaultRowHeight="15" customHeight="1"/>
  <cols>
    <col min="1" max="1" width="2.71153846153846" style="737" customWidth="1"/>
    <col min="2" max="2" width="25.5673076923077" style="737" customWidth="1"/>
    <col min="3" max="135" width="9.85576923076923" style="737" customWidth="1"/>
    <col min="136" max="16384" width="9.14423076923077" style="737"/>
  </cols>
  <sheetData>
    <row r="1" ht="12.75" customHeight="1"/>
    <row r="2" s="734" customFormat="1" customHeight="1"/>
    <row r="3" s="735" customFormat="1" ht="45" customHeight="1" spans="2:12">
      <c r="F3" s="738" t="s">
        <v>0</v>
      </c>
      <c r="G3" s="739"/>
      <c r="H3" s="739"/>
      <c r="I3" s="739"/>
      <c r="J3" s="739"/>
      <c r="K3" s="739"/>
      <c r="L3" s="739"/>
    </row>
    <row r="4" s="735" customFormat="1" customHeight="1" spans="2:12">
      <c r="F4" s="740" t="s">
        <v>1</v>
      </c>
      <c r="G4" s="739"/>
      <c r="H4" s="739"/>
      <c r="I4" s="739"/>
      <c r="J4" s="739"/>
      <c r="K4" s="739"/>
      <c r="L4" s="739"/>
    </row>
    <row r="5" s="735" customFormat="1" customHeight="1" spans="2:12">
      <c r="F5" s="741"/>
    </row>
    <row r="6" s="735" customFormat="1" customHeight="1"/>
    <row r="7" s="735" customFormat="1" customHeight="1"/>
    <row r="8" s="736" customFormat="1" customHeight="1"/>
    <row r="9" customHeight="1" spans="2:12">
      <c r="B9" s="742" t="s">
        <v>2</v>
      </c>
    </row>
    <row r="11" customHeight="1" spans="2:12">
      <c r="B11" s="743" t="s">
        <v>3</v>
      </c>
    </row>
    <row r="12" customHeight="1" spans="2:12">
      <c r="B12" s="744"/>
    </row>
    <row r="13" customHeight="1" spans="2:12">
      <c r="B13" s="745" t="s">
        <v>4</v>
      </c>
    </row>
    <row r="14" customHeight="1" spans="2:12">
      <c r="B14" s="744" t="s">
        <v>5</v>
      </c>
      <c r="C14" s="744"/>
    </row>
    <row r="15" customHeight="1" spans="2:12">
      <c r="B15" s="744" t="s">
        <v>6</v>
      </c>
    </row>
    <row r="16" customHeight="1" spans="2:12">
      <c r="B16" s="744" t="s">
        <v>7</v>
      </c>
    </row>
    <row r="17" customHeight="1" spans="2:2">
      <c r="B17" s="745"/>
    </row>
    <row r="18" customHeight="1" spans="2:2">
      <c r="B18" s="746" t="s">
        <v>8</v>
      </c>
    </row>
    <row r="19" customHeight="1" spans="2:2">
      <c r="B19" s="747" t="s">
        <v>9</v>
      </c>
    </row>
    <row r="20" customHeight="1" spans="2:2">
      <c r="B20" s="747" t="s">
        <v>10</v>
      </c>
    </row>
    <row r="21" customHeight="1" spans="2:2">
      <c r="B21" s="747" t="s">
        <v>11</v>
      </c>
    </row>
    <row r="23" customHeight="1" spans="2:2">
      <c r="B23" s="746" t="s">
        <v>12</v>
      </c>
    </row>
    <row r="24" customHeight="1" spans="2:2">
      <c r="B24" s="747" t="s">
        <v>9</v>
      </c>
    </row>
    <row r="25" customHeight="1" spans="2:2">
      <c r="B25" s="747" t="s">
        <v>13</v>
      </c>
    </row>
    <row r="26" customHeight="1" spans="2:2">
      <c r="B26" s="747" t="s">
        <v>14</v>
      </c>
    </row>
  </sheetData>
  <hyperlinks>
    <hyperlink ref="B21" r:id="rId3" display="mentesnot.adamu@gs.com"/>
    <hyperlink ref="B26" r:id="rId4" display="carly.chasen@gs.com"/>
  </hyperlinks>
  <pageMargins left="0.7" right="0.7" top="0.75" bottom="0.75" header="0.3" footer="0.3"/>
  <pageSetup paperSize="1" orientation="portrait"/>
  <headerFooter/>
  <customProperties>
    <customPr name="Qube.Worksheet.Visibility" r:id="rId2"/>
  </customPropertie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DS390"/>
  <sheetViews>
    <sheetView showGridLines="0" tabSelected="1" zoomScale="85" zoomScaleNormal="85" zoomScaleSheetLayoutView="85" workbookViewId="0">
      <pane xSplit="2" ySplit="6" topLeftCell="BP16" activePane="bottomRight" state="frozen"/>
      <selection/>
      <selection pane="topRight"/>
      <selection pane="bottomLeft"/>
      <selection pane="bottomRight" activeCell="DC57" sqref="DC57"/>
    </sheetView>
  </sheetViews>
  <sheetFormatPr defaultColWidth="9.14423076923077" defaultRowHeight="15.2"/>
  <cols>
    <col min="1" max="1" width="2.71153846153846" style="125" customWidth="1"/>
    <col min="2" max="2" width="24.7115384615385" style="491" customWidth="1"/>
    <col min="3" max="3" width="9.14423076923077" style="125" customWidth="1"/>
    <col min="4" max="7" width="9.14423076923077" style="125" hidden="1" customWidth="1" outlineLevel="1"/>
    <col min="8" max="8" width="9.14423076923077" style="125" customWidth="1" collapsed="1"/>
    <col min="9" max="12" width="9.14423076923077" style="125" hidden="1" customWidth="1" outlineLevel="1"/>
    <col min="13" max="13" width="9.14423076923077" style="125" customWidth="1" collapsed="1"/>
    <col min="14" max="17" width="9.14423076923077" style="125" hidden="1" customWidth="1" outlineLevel="1"/>
    <col min="18" max="18" width="9.14423076923077" style="125" customWidth="1" collapsed="1"/>
    <col min="19" max="22" width="9.14423076923077" style="125" hidden="1" customWidth="1" outlineLevel="1"/>
    <col min="23" max="23" width="9.14423076923077" style="125" customWidth="1" collapsed="1"/>
    <col min="24" max="27" width="9.14423076923077" style="125" hidden="1" customWidth="1" outlineLevel="1"/>
    <col min="28" max="28" width="9.14423076923077" style="125" customWidth="1" collapsed="1"/>
    <col min="29" max="32" width="9.14423076923077" style="125" hidden="1" customWidth="1" outlineLevel="1"/>
    <col min="33" max="33" width="9.14423076923077" style="125" customWidth="1" collapsed="1"/>
    <col min="34" max="37" width="9.14423076923077" style="125" hidden="1" customWidth="1" outlineLevel="1"/>
    <col min="38" max="38" width="9.28846153846154" style="125" customWidth="1" collapsed="1"/>
    <col min="39" max="42" width="9.28846153846154" style="125" hidden="1" customWidth="1" outlineLevel="1"/>
    <col min="43" max="43" width="9.14423076923077" style="125" customWidth="1" collapsed="1"/>
    <col min="44" max="47" width="9.14423076923077" style="125" hidden="1" customWidth="1" outlineLevel="1"/>
    <col min="48" max="48" width="9.14423076923077" style="125" customWidth="1" collapsed="1"/>
    <col min="49" max="52" width="9.14423076923077" style="125" hidden="1" customWidth="1" outlineLevel="1"/>
    <col min="53" max="53" width="9.71153846153846" style="125" customWidth="1" collapsed="1"/>
    <col min="54" max="57" width="9.14423076923077" style="125" hidden="1" customWidth="1" outlineLevel="1"/>
    <col min="58" max="58" width="9.14423076923077" style="125" customWidth="1" collapsed="1"/>
    <col min="59" max="62" width="9.14423076923077" style="125" hidden="1" customWidth="1" outlineLevel="1"/>
    <col min="63" max="63" width="9.14423076923077" style="125" customWidth="1" collapsed="1"/>
    <col min="64" max="67" width="9.14423076923077" style="125" hidden="1" customWidth="1" outlineLevel="1"/>
    <col min="68" max="68" width="9.85576923076923" style="125" customWidth="1" collapsed="1"/>
    <col min="69" max="72" width="9.14423076923077" style="125" hidden="1" customWidth="1" outlineLevel="1"/>
    <col min="73" max="73" width="9.14423076923077" style="125" customWidth="1" collapsed="1"/>
    <col min="74" max="77" width="9.14423076923077" style="125" hidden="1" customWidth="1" outlineLevel="1"/>
    <col min="78" max="78" width="9.14423076923077" style="125" customWidth="1" collapsed="1"/>
    <col min="79" max="82" width="9.14423076923077" style="125" hidden="1" customWidth="1" outlineLevel="1"/>
    <col min="83" max="83" width="9.14423076923077" style="125" customWidth="1" collapsed="1"/>
    <col min="84" max="84" width="10.7115384615385" style="125" hidden="1" customWidth="1" outlineLevel="1"/>
    <col min="85" max="86" width="9.14423076923077" style="125" hidden="1" customWidth="1" outlineLevel="1"/>
    <col min="87" max="87" width="11" style="125" hidden="1" customWidth="1" outlineLevel="1"/>
    <col min="88" max="88" width="9.14423076923077" style="125" customWidth="1" collapsed="1"/>
    <col min="89" max="91" width="9.14423076923077" style="125" hidden="1" customWidth="1" outlineLevel="1"/>
    <col min="92" max="92" width="10.1442307692308" style="125" hidden="1" customWidth="1" outlineLevel="1"/>
    <col min="93" max="93" width="9.14423076923077" style="125" customWidth="1" collapsed="1"/>
    <col min="94" max="94" width="9.14423076923077" style="125" hidden="1" customWidth="1" outlineLevel="1"/>
    <col min="95" max="95" width="10" style="125" hidden="1" customWidth="1" outlineLevel="1"/>
    <col min="96" max="97" width="9.14423076923077" style="125" hidden="1" customWidth="1" outlineLevel="1"/>
    <col min="98" max="98" width="9.14423076923077" style="125" customWidth="1" collapsed="1"/>
    <col min="99" max="102" width="9.14423076923077" style="125" hidden="1" customWidth="1" outlineLevel="1"/>
    <col min="103" max="103" width="9.14423076923077" style="125" customWidth="1" collapsed="1"/>
    <col min="104" max="107" width="9.14423076923077" style="125" customWidth="1" outlineLevel="1"/>
    <col min="108" max="108" width="9.14423076923077" style="125" customWidth="1"/>
    <col min="109" max="112" width="9.14423076923077" style="125" customWidth="1" outlineLevel="1"/>
    <col min="113" max="113" width="9.14423076923077" style="125" customWidth="1"/>
    <col min="114" max="117" width="9.14423076923077" style="125" customWidth="1" outlineLevel="1"/>
    <col min="118" max="118" width="9.14423076923077" style="125" customWidth="1"/>
    <col min="119" max="122" width="9.14423076923077" style="125" customWidth="1" outlineLevel="1"/>
    <col min="123" max="123" width="9.14423076923077" style="125" customWidth="1"/>
    <col min="124" max="16384" width="9.14423076923077" style="6"/>
  </cols>
  <sheetData>
    <row r="1" ht="12.75" customHeight="1" spans="1:123">
      <c r="B1" s="97" t="s">
        <v>15</v>
      </c>
      <c r="C1" s="101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99"/>
      <c r="DE1" s="99"/>
      <c r="DF1" s="8"/>
      <c r="DG1" s="8"/>
      <c r="DH1" s="8"/>
      <c r="DI1" s="99"/>
      <c r="DJ1" s="99"/>
      <c r="DK1" s="8"/>
      <c r="DL1" s="8"/>
      <c r="DM1" s="8"/>
      <c r="DN1" s="8"/>
      <c r="DO1" s="99"/>
      <c r="DP1" s="8"/>
      <c r="DQ1" s="8"/>
      <c r="DR1" s="8"/>
      <c r="DS1" s="8"/>
    </row>
    <row r="2" spans="1:123">
      <c r="B2" s="100" t="s">
        <v>16</v>
      </c>
      <c r="C2" s="10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492"/>
      <c r="BT2" s="492"/>
      <c r="BU2" s="492"/>
      <c r="BV2" s="492"/>
      <c r="BW2" s="492"/>
      <c r="BX2" s="492"/>
      <c r="BY2" s="492"/>
      <c r="BZ2" s="492"/>
      <c r="CA2" s="492"/>
      <c r="CB2" s="492"/>
      <c r="CC2" s="492"/>
      <c r="CD2" s="492"/>
      <c r="CE2" s="493"/>
      <c r="CF2" s="492"/>
      <c r="CG2" s="492"/>
      <c r="CH2" s="492"/>
      <c r="CI2" s="492"/>
      <c r="CJ2" s="493"/>
      <c r="CK2" s="493"/>
      <c r="CL2" s="493"/>
      <c r="CM2" s="493"/>
      <c r="CN2" s="493"/>
      <c r="CO2" s="493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</row>
    <row r="3" spans="1:123">
      <c r="B3" s="104" t="s">
        <v>17</v>
      </c>
      <c r="C3" s="101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495"/>
      <c r="BT3" s="495"/>
      <c r="BU3" s="495"/>
      <c r="BV3" s="495"/>
      <c r="BW3" s="495"/>
      <c r="BX3" s="495"/>
      <c r="BY3" s="495"/>
      <c r="BZ3" s="495"/>
      <c r="CA3" s="495"/>
      <c r="CB3" s="495"/>
      <c r="CC3" s="495"/>
      <c r="CD3" s="495"/>
      <c r="CE3" s="495"/>
      <c r="CF3" s="495"/>
      <c r="CG3" s="495"/>
      <c r="CH3" s="495"/>
      <c r="CI3" s="495"/>
      <c r="CJ3" s="495"/>
      <c r="CK3" s="495"/>
      <c r="CL3" s="495"/>
      <c r="CM3" s="495"/>
      <c r="CN3" s="495"/>
      <c r="CO3" s="495"/>
      <c r="CP3" s="495"/>
      <c r="CQ3" s="495"/>
      <c r="CR3" s="495"/>
      <c r="CS3" s="495"/>
      <c r="CT3" s="495"/>
      <c r="CU3" s="495"/>
      <c r="CV3" s="495"/>
      <c r="CW3" s="495"/>
      <c r="CX3" s="495"/>
      <c r="CY3" s="495"/>
      <c r="CZ3" s="495"/>
      <c r="DA3" s="495"/>
      <c r="DB3" s="495"/>
      <c r="DC3" s="495"/>
      <c r="DD3" s="496"/>
      <c r="DE3" s="496"/>
      <c r="DF3" s="495"/>
      <c r="DG3" s="495"/>
      <c r="DH3" s="495"/>
      <c r="DI3" s="496"/>
      <c r="DJ3" s="496"/>
      <c r="DK3" s="495"/>
      <c r="DL3" s="495"/>
      <c r="DM3" s="495"/>
      <c r="DN3" s="495"/>
      <c r="DO3" s="496"/>
      <c r="DP3" s="495"/>
      <c r="DQ3" s="495"/>
      <c r="DR3" s="495"/>
      <c r="DS3" s="495"/>
    </row>
    <row r="4" spans="1:123">
      <c r="B4" s="84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3"/>
      <c r="AE4" s="483"/>
      <c r="AF4" s="483"/>
      <c r="AG4" s="483"/>
      <c r="AH4" s="483"/>
      <c r="AI4" s="483"/>
      <c r="AJ4" s="483"/>
      <c r="AK4" s="483"/>
      <c r="AL4" s="483"/>
      <c r="AM4" s="483"/>
      <c r="AN4" s="483"/>
      <c r="AO4" s="483"/>
      <c r="AP4" s="483"/>
      <c r="AQ4" s="483"/>
      <c r="AR4" s="483"/>
      <c r="AS4" s="483"/>
      <c r="AT4" s="483"/>
      <c r="AU4" s="483"/>
      <c r="AV4" s="483"/>
      <c r="AW4" s="483"/>
      <c r="AX4" s="483"/>
      <c r="AY4" s="483"/>
      <c r="AZ4" s="483"/>
      <c r="BA4" s="483"/>
      <c r="BB4" s="483"/>
      <c r="BC4" s="483"/>
      <c r="BD4" s="483"/>
      <c r="BE4" s="483"/>
      <c r="BF4" s="483"/>
      <c r="BG4" s="483"/>
      <c r="BH4" s="483"/>
      <c r="BI4" s="483"/>
      <c r="BJ4" s="483"/>
      <c r="BK4" s="483"/>
      <c r="BL4" s="483"/>
      <c r="BM4" s="483"/>
      <c r="BN4" s="483"/>
      <c r="BO4" s="483"/>
      <c r="BP4" s="483"/>
      <c r="BQ4" s="483"/>
      <c r="BR4" s="483"/>
      <c r="BS4" s="497"/>
      <c r="BT4" s="497"/>
      <c r="BU4" s="497"/>
      <c r="BV4" s="497"/>
      <c r="BW4" s="497"/>
      <c r="BX4" s="497"/>
      <c r="BY4" s="497"/>
      <c r="BZ4" s="497"/>
      <c r="CA4" s="497"/>
      <c r="CB4" s="497"/>
      <c r="CC4" s="497"/>
      <c r="CD4" s="497"/>
      <c r="CE4" s="497"/>
      <c r="CF4" s="497"/>
      <c r="CG4" s="497"/>
      <c r="CH4" s="497"/>
      <c r="CI4" s="497"/>
      <c r="CJ4" s="497"/>
      <c r="CK4" s="497"/>
      <c r="CL4" s="497"/>
      <c r="CM4" s="497"/>
      <c r="CN4" s="497"/>
      <c r="CO4" s="497"/>
      <c r="CP4" s="497"/>
      <c r="CQ4" s="497"/>
      <c r="CR4" s="497"/>
      <c r="CS4" s="497"/>
      <c r="CT4" s="497"/>
      <c r="CU4" s="497"/>
      <c r="CV4" s="497"/>
      <c r="CW4" s="497"/>
      <c r="CX4" s="497"/>
      <c r="CY4" s="497"/>
      <c r="CZ4" s="497"/>
      <c r="DA4" s="497"/>
      <c r="DB4" s="497"/>
      <c r="DC4" s="497"/>
      <c r="DD4" s="497"/>
      <c r="DE4" s="497"/>
      <c r="DF4" s="497"/>
      <c r="DG4" s="497"/>
      <c r="DH4" s="497"/>
      <c r="DI4" s="497"/>
      <c r="DJ4" s="497"/>
      <c r="DK4" s="497"/>
      <c r="DL4" s="497"/>
      <c r="DM4" s="497"/>
      <c r="DN4" s="497"/>
      <c r="DO4" s="497"/>
      <c r="DP4" s="497"/>
      <c r="DQ4" s="497"/>
      <c r="DR4" s="497"/>
      <c r="DS4" s="497"/>
    </row>
    <row r="5" spans="1:123">
      <c r="A5" s="349"/>
      <c r="B5" s="498"/>
      <c r="C5" s="499">
        <v>38383</v>
      </c>
      <c r="D5" s="500">
        <v>38472</v>
      </c>
      <c r="E5" s="500">
        <v>38564</v>
      </c>
      <c r="F5" s="500">
        <v>38656</v>
      </c>
      <c r="G5" s="500">
        <v>38748</v>
      </c>
      <c r="H5" s="499">
        <f>G5</f>
        <v>38748</v>
      </c>
      <c r="I5" s="500">
        <f>DATE(YEAR(D5)+1,MONTH(D5),DAY(D5))</f>
        <v>38837</v>
      </c>
      <c r="J5" s="500">
        <f t="shared" ref="J5:BU5" si="0">DATE(YEAR(E5)+1,MONTH(E5),DAY(E5))</f>
        <v>38929</v>
      </c>
      <c r="K5" s="500">
        <f t="shared" si="0"/>
        <v>39021</v>
      </c>
      <c r="L5" s="500">
        <f t="shared" si="0"/>
        <v>39113</v>
      </c>
      <c r="M5" s="499">
        <f t="shared" si="0"/>
        <v>39113</v>
      </c>
      <c r="N5" s="500">
        <f t="shared" si="0"/>
        <v>39202</v>
      </c>
      <c r="O5" s="500">
        <f t="shared" si="0"/>
        <v>39294</v>
      </c>
      <c r="P5" s="500">
        <f t="shared" si="0"/>
        <v>39386</v>
      </c>
      <c r="Q5" s="500">
        <f t="shared" si="0"/>
        <v>39478</v>
      </c>
      <c r="R5" s="499">
        <f t="shared" si="0"/>
        <v>39478</v>
      </c>
      <c r="S5" s="500">
        <f t="shared" si="0"/>
        <v>39568</v>
      </c>
      <c r="T5" s="500">
        <f t="shared" si="0"/>
        <v>39660</v>
      </c>
      <c r="U5" s="500">
        <f t="shared" si="0"/>
        <v>39752</v>
      </c>
      <c r="V5" s="500">
        <f t="shared" si="0"/>
        <v>39844</v>
      </c>
      <c r="W5" s="499">
        <f t="shared" si="0"/>
        <v>39844</v>
      </c>
      <c r="X5" s="500">
        <f t="shared" si="0"/>
        <v>39933</v>
      </c>
      <c r="Y5" s="500">
        <f t="shared" si="0"/>
        <v>40025</v>
      </c>
      <c r="Z5" s="500">
        <f t="shared" si="0"/>
        <v>40117</v>
      </c>
      <c r="AA5" s="500">
        <f t="shared" si="0"/>
        <v>40209</v>
      </c>
      <c r="AB5" s="499">
        <f t="shared" si="0"/>
        <v>40209</v>
      </c>
      <c r="AC5" s="500">
        <f t="shared" si="0"/>
        <v>40298</v>
      </c>
      <c r="AD5" s="500">
        <f t="shared" si="0"/>
        <v>40390</v>
      </c>
      <c r="AE5" s="500">
        <f t="shared" si="0"/>
        <v>40482</v>
      </c>
      <c r="AF5" s="500">
        <f t="shared" si="0"/>
        <v>40574</v>
      </c>
      <c r="AG5" s="499">
        <f t="shared" si="0"/>
        <v>40574</v>
      </c>
      <c r="AH5" s="500">
        <f t="shared" si="0"/>
        <v>40663</v>
      </c>
      <c r="AI5" s="500">
        <f t="shared" si="0"/>
        <v>40755</v>
      </c>
      <c r="AJ5" s="500">
        <f t="shared" si="0"/>
        <v>40847</v>
      </c>
      <c r="AK5" s="500">
        <f t="shared" si="0"/>
        <v>40939</v>
      </c>
      <c r="AL5" s="499">
        <f t="shared" si="0"/>
        <v>40939</v>
      </c>
      <c r="AM5" s="500">
        <f t="shared" si="0"/>
        <v>41029</v>
      </c>
      <c r="AN5" s="500">
        <f t="shared" si="0"/>
        <v>41121</v>
      </c>
      <c r="AO5" s="500">
        <f t="shared" si="0"/>
        <v>41213</v>
      </c>
      <c r="AP5" s="500">
        <f t="shared" si="0"/>
        <v>41305</v>
      </c>
      <c r="AQ5" s="499">
        <f t="shared" si="0"/>
        <v>41305</v>
      </c>
      <c r="AR5" s="500">
        <f t="shared" si="0"/>
        <v>41394</v>
      </c>
      <c r="AS5" s="500">
        <f t="shared" si="0"/>
        <v>41486</v>
      </c>
      <c r="AT5" s="500">
        <f t="shared" si="0"/>
        <v>41578</v>
      </c>
      <c r="AU5" s="500">
        <f t="shared" si="0"/>
        <v>41670</v>
      </c>
      <c r="AV5" s="499">
        <f t="shared" si="0"/>
        <v>41670</v>
      </c>
      <c r="AW5" s="500">
        <f t="shared" si="0"/>
        <v>41759</v>
      </c>
      <c r="AX5" s="500">
        <f t="shared" si="0"/>
        <v>41851</v>
      </c>
      <c r="AY5" s="500">
        <f t="shared" si="0"/>
        <v>41943</v>
      </c>
      <c r="AZ5" s="500">
        <f t="shared" si="0"/>
        <v>42035</v>
      </c>
      <c r="BA5" s="499">
        <f t="shared" si="0"/>
        <v>42035</v>
      </c>
      <c r="BB5" s="500">
        <f t="shared" si="0"/>
        <v>42124</v>
      </c>
      <c r="BC5" s="500">
        <f t="shared" si="0"/>
        <v>42216</v>
      </c>
      <c r="BD5" s="500">
        <f t="shared" si="0"/>
        <v>42308</v>
      </c>
      <c r="BE5" s="500">
        <f t="shared" si="0"/>
        <v>42400</v>
      </c>
      <c r="BF5" s="499">
        <f t="shared" si="0"/>
        <v>42400</v>
      </c>
      <c r="BG5" s="500">
        <f t="shared" si="0"/>
        <v>42490</v>
      </c>
      <c r="BH5" s="500">
        <f t="shared" si="0"/>
        <v>42582</v>
      </c>
      <c r="BI5" s="500">
        <f t="shared" si="0"/>
        <v>42674</v>
      </c>
      <c r="BJ5" s="500">
        <f t="shared" si="0"/>
        <v>42766</v>
      </c>
      <c r="BK5" s="499">
        <f t="shared" si="0"/>
        <v>42766</v>
      </c>
      <c r="BL5" s="500">
        <f t="shared" si="0"/>
        <v>42855</v>
      </c>
      <c r="BM5" s="500">
        <f t="shared" si="0"/>
        <v>42947</v>
      </c>
      <c r="BN5" s="500">
        <f t="shared" si="0"/>
        <v>43039</v>
      </c>
      <c r="BO5" s="500">
        <f t="shared" si="0"/>
        <v>43131</v>
      </c>
      <c r="BP5" s="499">
        <f t="shared" si="0"/>
        <v>43131</v>
      </c>
      <c r="BQ5" s="500">
        <f t="shared" si="0"/>
        <v>43220</v>
      </c>
      <c r="BR5" s="500">
        <f t="shared" si="0"/>
        <v>43312</v>
      </c>
      <c r="BS5" s="500">
        <f t="shared" si="0"/>
        <v>43404</v>
      </c>
      <c r="BT5" s="500">
        <f t="shared" si="0"/>
        <v>43496</v>
      </c>
      <c r="BU5" s="499">
        <f t="shared" si="0"/>
        <v>43496</v>
      </c>
      <c r="BV5" s="500">
        <f t="shared" ref="BV5:CO5" si="1">DATE(YEAR(BQ5)+1,MONTH(BQ5),DAY(BQ5))</f>
        <v>43585</v>
      </c>
      <c r="BW5" s="500">
        <f t="shared" si="1"/>
        <v>43677</v>
      </c>
      <c r="BX5" s="500">
        <f t="shared" si="1"/>
        <v>43769</v>
      </c>
      <c r="BY5" s="500">
        <f t="shared" si="1"/>
        <v>43861</v>
      </c>
      <c r="BZ5" s="499">
        <f t="shared" si="1"/>
        <v>43861</v>
      </c>
      <c r="CA5" s="500">
        <f t="shared" si="1"/>
        <v>43951</v>
      </c>
      <c r="CB5" s="500">
        <f t="shared" si="1"/>
        <v>44043</v>
      </c>
      <c r="CC5" s="500">
        <f t="shared" si="1"/>
        <v>44135</v>
      </c>
      <c r="CD5" s="500">
        <f t="shared" si="1"/>
        <v>44227</v>
      </c>
      <c r="CE5" s="499">
        <f t="shared" si="1"/>
        <v>44227</v>
      </c>
      <c r="CF5" s="500">
        <f t="shared" si="1"/>
        <v>44316</v>
      </c>
      <c r="CG5" s="500">
        <f t="shared" si="1"/>
        <v>44408</v>
      </c>
      <c r="CH5" s="500">
        <f t="shared" si="1"/>
        <v>44500</v>
      </c>
      <c r="CI5" s="500">
        <f t="shared" si="1"/>
        <v>44592</v>
      </c>
      <c r="CJ5" s="499">
        <f t="shared" si="1"/>
        <v>44592</v>
      </c>
      <c r="CK5" s="500">
        <f t="shared" si="1"/>
        <v>44681</v>
      </c>
      <c r="CL5" s="500">
        <f t="shared" si="1"/>
        <v>44773</v>
      </c>
      <c r="CM5" s="500">
        <f t="shared" si="1"/>
        <v>44865</v>
      </c>
      <c r="CN5" s="500">
        <f t="shared" si="1"/>
        <v>44957</v>
      </c>
      <c r="CO5" s="499">
        <f t="shared" si="1"/>
        <v>44957</v>
      </c>
      <c r="CP5" s="500">
        <f t="shared" ref="CP5:CX5" si="2">DATE(YEAR(CK5)+1,MONTH(CK5),DAY(CK5))</f>
        <v>45046</v>
      </c>
      <c r="CQ5" s="500">
        <f t="shared" si="2"/>
        <v>45138</v>
      </c>
      <c r="CR5" s="500">
        <f t="shared" si="2"/>
        <v>45230</v>
      </c>
      <c r="CS5" s="500">
        <f t="shared" si="2"/>
        <v>45322</v>
      </c>
      <c r="CT5" s="499">
        <f t="shared" si="2"/>
        <v>45322</v>
      </c>
      <c r="CU5" s="500">
        <f t="shared" si="2"/>
        <v>45412</v>
      </c>
      <c r="CV5" s="500">
        <f t="shared" si="2"/>
        <v>45504</v>
      </c>
      <c r="CW5" s="500">
        <f t="shared" si="2"/>
        <v>45596</v>
      </c>
      <c r="CX5" s="500">
        <f t="shared" si="2"/>
        <v>45688</v>
      </c>
      <c r="CY5" s="499">
        <f t="shared" ref="CY5:DD5" si="3">DATE(YEAR(CT5)+1,MONTH(CT5),DAY(CT5))</f>
        <v>45688</v>
      </c>
      <c r="CZ5" s="500">
        <f t="shared" si="3"/>
        <v>45777</v>
      </c>
      <c r="DA5" s="500">
        <f t="shared" si="3"/>
        <v>45869</v>
      </c>
      <c r="DB5" s="500">
        <f t="shared" si="3"/>
        <v>45961</v>
      </c>
      <c r="DC5" s="500">
        <f t="shared" si="3"/>
        <v>46053</v>
      </c>
      <c r="DD5" s="499">
        <f t="shared" si="3"/>
        <v>46053</v>
      </c>
      <c r="DE5" s="500">
        <f t="shared" ref="DE5:DN5" si="4">DATE(YEAR(CZ5)+1,MONTH(CZ5),DAY(CZ5))</f>
        <v>46142</v>
      </c>
      <c r="DF5" s="500">
        <f t="shared" si="4"/>
        <v>46234</v>
      </c>
      <c r="DG5" s="500">
        <f t="shared" si="4"/>
        <v>46326</v>
      </c>
      <c r="DH5" s="500">
        <f t="shared" si="4"/>
        <v>46418</v>
      </c>
      <c r="DI5" s="499">
        <f t="shared" si="4"/>
        <v>46418</v>
      </c>
      <c r="DJ5" s="500">
        <f t="shared" si="4"/>
        <v>46507</v>
      </c>
      <c r="DK5" s="500">
        <f t="shared" si="4"/>
        <v>46599</v>
      </c>
      <c r="DL5" s="500">
        <f t="shared" si="4"/>
        <v>46691</v>
      </c>
      <c r="DM5" s="500">
        <f t="shared" si="4"/>
        <v>46783</v>
      </c>
      <c r="DN5" s="499">
        <f t="shared" si="4"/>
        <v>46783</v>
      </c>
      <c r="DO5" s="500">
        <f t="shared" ref="DO5" si="5">DATE(YEAR(DJ5)+1,MONTH(DJ5),DAY(DJ5))</f>
        <v>46873</v>
      </c>
      <c r="DP5" s="500">
        <f t="shared" ref="DP5" si="6">DATE(YEAR(DK5)+1,MONTH(DK5),DAY(DK5))</f>
        <v>46965</v>
      </c>
      <c r="DQ5" s="500">
        <f t="shared" ref="DQ5" si="7">DATE(YEAR(DL5)+1,MONTH(DL5),DAY(DL5))</f>
        <v>47057</v>
      </c>
      <c r="DR5" s="500">
        <f t="shared" ref="DR5" si="8">DATE(YEAR(DM5)+1,MONTH(DM5),DAY(DM5))</f>
        <v>47149</v>
      </c>
      <c r="DS5" s="499">
        <f t="shared" ref="DS5" si="9">DATE(YEAR(DN5)+1,MONTH(DN5),DAY(DN5))</f>
        <v>47149</v>
      </c>
    </row>
    <row r="6" spans="1:123">
      <c r="A6" s="349"/>
      <c r="B6" s="501"/>
      <c r="C6" s="110" t="s">
        <v>18</v>
      </c>
      <c r="D6" s="111" t="s">
        <v>19</v>
      </c>
      <c r="E6" s="111" t="s">
        <v>20</v>
      </c>
      <c r="F6" s="111" t="s">
        <v>21</v>
      </c>
      <c r="G6" s="111" t="s">
        <v>22</v>
      </c>
      <c r="H6" s="110" t="s">
        <v>23</v>
      </c>
      <c r="I6" s="111" t="s">
        <v>19</v>
      </c>
      <c r="J6" s="111" t="s">
        <v>20</v>
      </c>
      <c r="K6" s="111" t="s">
        <v>21</v>
      </c>
      <c r="L6" s="111" t="s">
        <v>22</v>
      </c>
      <c r="M6" s="110" t="s">
        <v>24</v>
      </c>
      <c r="N6" s="111" t="s">
        <v>19</v>
      </c>
      <c r="O6" s="111" t="s">
        <v>20</v>
      </c>
      <c r="P6" s="111" t="s">
        <v>21</v>
      </c>
      <c r="Q6" s="111" t="s">
        <v>22</v>
      </c>
      <c r="R6" s="110" t="s">
        <v>25</v>
      </c>
      <c r="S6" s="111" t="s">
        <v>19</v>
      </c>
      <c r="T6" s="111" t="s">
        <v>20</v>
      </c>
      <c r="U6" s="111" t="s">
        <v>21</v>
      </c>
      <c r="V6" s="111" t="s">
        <v>22</v>
      </c>
      <c r="W6" s="110" t="s">
        <v>26</v>
      </c>
      <c r="X6" s="111" t="s">
        <v>19</v>
      </c>
      <c r="Y6" s="111" t="s">
        <v>20</v>
      </c>
      <c r="Z6" s="111" t="s">
        <v>21</v>
      </c>
      <c r="AA6" s="111" t="s">
        <v>22</v>
      </c>
      <c r="AB6" s="110" t="s">
        <v>27</v>
      </c>
      <c r="AC6" s="111" t="s">
        <v>19</v>
      </c>
      <c r="AD6" s="111" t="s">
        <v>20</v>
      </c>
      <c r="AE6" s="111" t="s">
        <v>21</v>
      </c>
      <c r="AF6" s="111" t="s">
        <v>22</v>
      </c>
      <c r="AG6" s="110" t="s">
        <v>28</v>
      </c>
      <c r="AH6" s="111" t="s">
        <v>19</v>
      </c>
      <c r="AI6" s="111" t="s">
        <v>20</v>
      </c>
      <c r="AJ6" s="111" t="s">
        <v>21</v>
      </c>
      <c r="AK6" s="111" t="s">
        <v>22</v>
      </c>
      <c r="AL6" s="110" t="s">
        <v>29</v>
      </c>
      <c r="AM6" s="111" t="s">
        <v>19</v>
      </c>
      <c r="AN6" s="111" t="s">
        <v>20</v>
      </c>
      <c r="AO6" s="111" t="s">
        <v>21</v>
      </c>
      <c r="AP6" s="111" t="s">
        <v>22</v>
      </c>
      <c r="AQ6" s="110" t="s">
        <v>30</v>
      </c>
      <c r="AR6" s="111" t="s">
        <v>19</v>
      </c>
      <c r="AS6" s="111" t="s">
        <v>20</v>
      </c>
      <c r="AT6" s="111" t="s">
        <v>21</v>
      </c>
      <c r="AU6" s="111" t="s">
        <v>22</v>
      </c>
      <c r="AV6" s="110" t="s">
        <v>31</v>
      </c>
      <c r="AW6" s="111" t="s">
        <v>19</v>
      </c>
      <c r="AX6" s="111" t="s">
        <v>20</v>
      </c>
      <c r="AY6" s="111" t="s">
        <v>21</v>
      </c>
      <c r="AZ6" s="111" t="s">
        <v>22</v>
      </c>
      <c r="BA6" s="110" t="s">
        <v>32</v>
      </c>
      <c r="BB6" s="111" t="s">
        <v>19</v>
      </c>
      <c r="BC6" s="111" t="s">
        <v>20</v>
      </c>
      <c r="BD6" s="111" t="s">
        <v>21</v>
      </c>
      <c r="BE6" s="111" t="s">
        <v>22</v>
      </c>
      <c r="BF6" s="110" t="s">
        <v>33</v>
      </c>
      <c r="BG6" s="111" t="s">
        <v>19</v>
      </c>
      <c r="BH6" s="111" t="s">
        <v>20</v>
      </c>
      <c r="BI6" s="111" t="s">
        <v>21</v>
      </c>
      <c r="BJ6" s="111" t="s">
        <v>22</v>
      </c>
      <c r="BK6" s="110" t="s">
        <v>34</v>
      </c>
      <c r="BL6" s="111" t="s">
        <v>19</v>
      </c>
      <c r="BM6" s="111" t="s">
        <v>20</v>
      </c>
      <c r="BN6" s="111" t="s">
        <v>21</v>
      </c>
      <c r="BO6" s="111" t="s">
        <v>22</v>
      </c>
      <c r="BP6" s="110" t="s">
        <v>35</v>
      </c>
      <c r="BQ6" s="111" t="s">
        <v>19</v>
      </c>
      <c r="BR6" s="111" t="s">
        <v>20</v>
      </c>
      <c r="BS6" s="111" t="s">
        <v>21</v>
      </c>
      <c r="BT6" s="111" t="s">
        <v>22</v>
      </c>
      <c r="BU6" s="110" t="s">
        <v>36</v>
      </c>
      <c r="BV6" s="111" t="s">
        <v>19</v>
      </c>
      <c r="BW6" s="111" t="s">
        <v>20</v>
      </c>
      <c r="BX6" s="111" t="s">
        <v>21</v>
      </c>
      <c r="BY6" s="111" t="s">
        <v>22</v>
      </c>
      <c r="BZ6" s="110" t="s">
        <v>37</v>
      </c>
      <c r="CA6" s="111" t="s">
        <v>19</v>
      </c>
      <c r="CB6" s="111" t="s">
        <v>20</v>
      </c>
      <c r="CC6" s="111" t="s">
        <v>21</v>
      </c>
      <c r="CD6" s="111" t="s">
        <v>22</v>
      </c>
      <c r="CE6" s="110" t="s">
        <v>38</v>
      </c>
      <c r="CF6" s="111" t="s">
        <v>19</v>
      </c>
      <c r="CG6" s="111" t="s">
        <v>20</v>
      </c>
      <c r="CH6" s="111" t="s">
        <v>21</v>
      </c>
      <c r="CI6" s="111" t="s">
        <v>22</v>
      </c>
      <c r="CJ6" s="110" t="s">
        <v>39</v>
      </c>
      <c r="CK6" s="111" t="s">
        <v>19</v>
      </c>
      <c r="CL6" s="111" t="s">
        <v>20</v>
      </c>
      <c r="CM6" s="111" t="s">
        <v>40</v>
      </c>
      <c r="CN6" s="111" t="s">
        <v>22</v>
      </c>
      <c r="CO6" s="110" t="s">
        <v>41</v>
      </c>
      <c r="CP6" s="111" t="s">
        <v>19</v>
      </c>
      <c r="CQ6" s="111" t="s">
        <v>20</v>
      </c>
      <c r="CR6" s="111" t="s">
        <v>21</v>
      </c>
      <c r="CS6" s="111" t="s">
        <v>22</v>
      </c>
      <c r="CT6" s="110" t="s">
        <v>42</v>
      </c>
      <c r="CU6" s="111" t="s">
        <v>19</v>
      </c>
      <c r="CV6" s="111" t="s">
        <v>20</v>
      </c>
      <c r="CW6" s="111" t="s">
        <v>21</v>
      </c>
      <c r="CX6" s="111" t="s">
        <v>22</v>
      </c>
      <c r="CY6" s="110" t="s">
        <v>43</v>
      </c>
      <c r="CZ6" s="111" t="s">
        <v>19</v>
      </c>
      <c r="DA6" s="111" t="s">
        <v>20</v>
      </c>
      <c r="DB6" s="111" t="s">
        <v>21</v>
      </c>
      <c r="DC6" s="111" t="s">
        <v>22</v>
      </c>
      <c r="DD6" s="110" t="s">
        <v>44</v>
      </c>
      <c r="DE6" s="111" t="s">
        <v>19</v>
      </c>
      <c r="DF6" s="111" t="s">
        <v>20</v>
      </c>
      <c r="DG6" s="111" t="s">
        <v>40</v>
      </c>
      <c r="DH6" s="111" t="s">
        <v>45</v>
      </c>
      <c r="DI6" s="110" t="s">
        <v>46</v>
      </c>
      <c r="DJ6" s="111" t="s">
        <v>47</v>
      </c>
      <c r="DK6" s="111" t="s">
        <v>48</v>
      </c>
      <c r="DL6" s="111" t="s">
        <v>40</v>
      </c>
      <c r="DM6" s="111" t="s">
        <v>45</v>
      </c>
      <c r="DN6" s="110" t="s">
        <v>49</v>
      </c>
      <c r="DO6" s="111" t="s">
        <v>47</v>
      </c>
      <c r="DP6" s="111" t="s">
        <v>48</v>
      </c>
      <c r="DQ6" s="111" t="s">
        <v>40</v>
      </c>
      <c r="DR6" s="111" t="s">
        <v>45</v>
      </c>
      <c r="DS6" s="110" t="s">
        <v>50</v>
      </c>
    </row>
    <row r="7" spans="1:123">
      <c r="B7" s="112" t="s">
        <v>51</v>
      </c>
      <c r="C7" s="502"/>
      <c r="D7" s="503"/>
      <c r="E7" s="503"/>
      <c r="F7" s="503"/>
      <c r="G7" s="503"/>
      <c r="H7" s="503"/>
      <c r="I7" s="503"/>
      <c r="J7" s="503"/>
      <c r="K7" s="503"/>
      <c r="L7" s="503"/>
      <c r="M7" s="503"/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/>
      <c r="AE7" s="503"/>
      <c r="AF7" s="503"/>
      <c r="AG7" s="503"/>
      <c r="AH7" s="503"/>
      <c r="AI7" s="503"/>
      <c r="AJ7" s="503"/>
      <c r="AK7" s="503"/>
      <c r="AL7" s="503"/>
      <c r="AM7" s="503"/>
      <c r="AN7" s="503"/>
      <c r="AO7" s="503"/>
      <c r="AP7" s="503"/>
      <c r="AQ7" s="503"/>
      <c r="AR7" s="503"/>
      <c r="AS7" s="503"/>
      <c r="AT7" s="503"/>
      <c r="AU7" s="503"/>
      <c r="AV7" s="503"/>
      <c r="AW7" s="503"/>
      <c r="AX7" s="503"/>
      <c r="AY7" s="503"/>
      <c r="AZ7" s="503"/>
      <c r="BA7" s="503"/>
      <c r="BB7" s="503"/>
      <c r="BC7" s="503"/>
      <c r="BD7" s="503"/>
      <c r="BE7" s="503"/>
      <c r="BF7" s="503"/>
      <c r="BG7" s="503"/>
      <c r="BH7" s="503"/>
      <c r="BI7" s="503"/>
      <c r="BJ7" s="503"/>
      <c r="BK7" s="503"/>
      <c r="BL7" s="503"/>
      <c r="BM7" s="503"/>
      <c r="BN7" s="503"/>
      <c r="BO7" s="503"/>
      <c r="BP7" s="503"/>
      <c r="BQ7" s="503"/>
      <c r="BR7" s="503"/>
      <c r="BS7" s="503"/>
      <c r="BT7" s="503"/>
      <c r="BU7" s="503"/>
      <c r="BV7" s="503"/>
      <c r="BW7" s="503"/>
      <c r="BX7" s="503"/>
      <c r="BY7" s="503"/>
      <c r="BZ7" s="503"/>
      <c r="CA7" s="503"/>
      <c r="CB7" s="503"/>
      <c r="CC7" s="503"/>
      <c r="CD7" s="503"/>
      <c r="CE7" s="503"/>
      <c r="CF7" s="503"/>
      <c r="CG7" s="503"/>
      <c r="CH7" s="503"/>
      <c r="CI7" s="503"/>
      <c r="CJ7" s="503"/>
      <c r="CK7" s="503"/>
      <c r="CL7" s="503"/>
      <c r="CM7" s="503"/>
      <c r="CN7" s="503"/>
      <c r="CO7" s="503"/>
      <c r="CP7" s="503"/>
      <c r="CQ7" s="503"/>
      <c r="CR7" s="503"/>
      <c r="CS7" s="503"/>
      <c r="CT7" s="503"/>
      <c r="CU7" s="503"/>
      <c r="CV7" s="503"/>
      <c r="CW7" s="503"/>
      <c r="CX7" s="503"/>
      <c r="CY7" s="503"/>
      <c r="CZ7" s="503"/>
      <c r="DA7" s="503"/>
      <c r="DB7" s="503"/>
      <c r="DC7" s="503"/>
      <c r="DD7" s="504"/>
      <c r="DE7" s="505"/>
      <c r="DF7" s="503"/>
      <c r="DG7" s="503"/>
      <c r="DH7" s="503"/>
      <c r="DI7" s="503"/>
      <c r="DJ7" s="503"/>
      <c r="DK7" s="503"/>
      <c r="DL7" s="503"/>
      <c r="DM7" s="503"/>
      <c r="DN7" s="503"/>
      <c r="DO7" s="503"/>
      <c r="DP7" s="503"/>
      <c r="DQ7" s="503"/>
      <c r="DR7" s="503"/>
      <c r="DS7" s="506"/>
    </row>
    <row r="8" spans="1:123">
      <c r="B8" s="184" t="s">
        <v>52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6"/>
      <c r="DJ8" s="116"/>
      <c r="DK8" s="117"/>
      <c r="DL8" s="117"/>
      <c r="DM8" s="117"/>
      <c r="DN8" s="117"/>
      <c r="DO8" s="117"/>
      <c r="DP8" s="117"/>
      <c r="DQ8" s="117"/>
      <c r="DR8" s="117"/>
      <c r="DS8" s="507"/>
    </row>
    <row r="9" spans="1:123">
      <c r="B9" s="501" t="s">
        <v>53</v>
      </c>
      <c r="C9" s="124">
        <f>'3. Earnings Build'!C28</f>
        <v>29.906</v>
      </c>
      <c r="D9" s="125">
        <f>'3. Earnings Build'!D28</f>
        <v>11.052</v>
      </c>
      <c r="E9" s="125">
        <f>'3. Earnings Build'!E28</f>
        <v>13.455</v>
      </c>
      <c r="F9" s="125">
        <f>'3. Earnings Build'!F28</f>
        <v>15.62</v>
      </c>
      <c r="G9" s="125">
        <f>'3. Earnings Build'!G28</f>
        <v>25.45</v>
      </c>
      <c r="H9" s="124">
        <f>SUM(D9:G9)</f>
        <v>65.577</v>
      </c>
      <c r="I9" s="125">
        <f>'3. Earnings Build'!I28</f>
        <v>22.146</v>
      </c>
      <c r="J9" s="125">
        <f>'3. Earnings Build'!J28</f>
        <v>26.831</v>
      </c>
      <c r="K9" s="125">
        <f>'3. Earnings Build'!K28</f>
        <v>29.145</v>
      </c>
      <c r="L9" s="125">
        <f>'3. Earnings Build'!L28</f>
        <v>42.612</v>
      </c>
      <c r="M9" s="124">
        <f>SUM(I9:L9)</f>
        <v>120.734</v>
      </c>
      <c r="N9" s="125">
        <f>'3. Earnings Build'!N28</f>
        <v>38.008</v>
      </c>
      <c r="O9" s="125">
        <f>'3. Earnings Build'!O28</f>
        <v>53.1</v>
      </c>
      <c r="P9" s="125">
        <f>'3. Earnings Build'!P28</f>
        <v>59.9</v>
      </c>
      <c r="Q9" s="125">
        <f>'3. Earnings Build'!Q28</f>
        <v>92.5</v>
      </c>
      <c r="R9" s="124">
        <f>SUM(N9:Q9)</f>
        <v>243.508</v>
      </c>
      <c r="S9" s="125">
        <f>'3. Earnings Build'!S28</f>
        <v>70.6</v>
      </c>
      <c r="T9" s="125">
        <f>'3. Earnings Build'!T28</f>
        <v>78.3</v>
      </c>
      <c r="U9" s="125">
        <f>'3. Earnings Build'!U28</f>
        <v>77.6</v>
      </c>
      <c r="V9" s="125">
        <f>'3. Earnings Build'!V28</f>
        <v>89.047803</v>
      </c>
      <c r="W9" s="124">
        <f>SUM(S9:V9)</f>
        <v>315.547803</v>
      </c>
      <c r="X9" s="125">
        <f>'3. Earnings Build'!X28</f>
        <v>72.031</v>
      </c>
      <c r="Y9" s="125">
        <f>'3. Earnings Build'!Y28</f>
        <v>85.1</v>
      </c>
      <c r="Z9" s="125">
        <f>'3. Earnings Build'!Z28</f>
        <v>98.1</v>
      </c>
      <c r="AA9" s="125">
        <f>'3. Earnings Build'!AA28</f>
        <v>138.3</v>
      </c>
      <c r="AB9" s="124">
        <f>SUM(X9:AA9)</f>
        <v>393.531</v>
      </c>
      <c r="AC9" s="125">
        <f>'3. Earnings Build'!AC28</f>
        <v>115.597</v>
      </c>
      <c r="AD9" s="125">
        <f>'3. Earnings Build'!AD28</f>
        <v>129.4</v>
      </c>
      <c r="AE9" s="125">
        <f>'3. Earnings Build'!AE28</f>
        <v>143.2</v>
      </c>
      <c r="AF9" s="125">
        <f>'3. Earnings Build'!AF28</f>
        <v>202.8</v>
      </c>
      <c r="AG9" s="124">
        <f>SUM(AC9:AF9)</f>
        <v>590.997</v>
      </c>
      <c r="AH9" s="125">
        <f>'3. Earnings Build'!AH28</f>
        <v>156.5</v>
      </c>
      <c r="AI9" s="125">
        <f>'3. Earnings Build'!AI28</f>
        <v>178.223</v>
      </c>
      <c r="AJ9" s="125">
        <f>'3. Earnings Build'!AJ28</f>
        <v>190.016</v>
      </c>
      <c r="AK9" s="125">
        <f>'3. Earnings Build'!AK28</f>
        <v>292.47028</v>
      </c>
      <c r="AL9" s="124">
        <f>SUM(AH9:AK9)</f>
        <v>817.20928</v>
      </c>
      <c r="AM9" s="125">
        <f>'3. Earnings Build'!AM28</f>
        <v>228.789</v>
      </c>
      <c r="AN9" s="125">
        <f>'3. Earnings Build'!AN28</f>
        <v>231.314</v>
      </c>
      <c r="AO9" s="125">
        <f>'3. Earnings Build'!AO28</f>
        <v>252.046</v>
      </c>
      <c r="AP9" s="125">
        <f>'3. Earnings Build'!AP28</f>
        <v>378.032</v>
      </c>
      <c r="AQ9" s="124">
        <f>SUM(AM9:AP9)</f>
        <v>1090.181</v>
      </c>
      <c r="AR9" s="125">
        <f>'3. Earnings Build'!AR28</f>
        <v>269.357</v>
      </c>
      <c r="AS9" s="125">
        <f>'3. Earnings Build'!AS28</f>
        <v>273.768</v>
      </c>
      <c r="AT9" s="125">
        <f>'3. Earnings Build'!AT28</f>
        <v>290.666</v>
      </c>
      <c r="AU9" s="125">
        <f>'3. Earnings Build'!AU28</f>
        <v>395.208</v>
      </c>
      <c r="AV9" s="124">
        <f>SUM(AR9:AU9)</f>
        <v>1228.999</v>
      </c>
      <c r="AW9" s="125">
        <f>'3. Earnings Build'!AW28</f>
        <v>288.101</v>
      </c>
      <c r="AX9" s="125">
        <f>'3. Earnings Build'!AX28</f>
        <v>294.04</v>
      </c>
      <c r="AY9" s="125">
        <f>'3. Earnings Build'!AY28</f>
        <v>310.014</v>
      </c>
      <c r="AZ9" s="125">
        <f>'3. Earnings Build'!AZ28</f>
        <v>456.07</v>
      </c>
      <c r="BA9" s="124">
        <f>SUM(AW9:AZ9)</f>
        <v>1348.225</v>
      </c>
      <c r="BB9" s="125">
        <f>'3. Earnings Build'!BB28</f>
        <v>314.094</v>
      </c>
      <c r="BC9" s="125">
        <f>'3. Earnings Build'!BC28</f>
        <v>339.779</v>
      </c>
      <c r="BD9" s="125">
        <f>'3. Earnings Build'!BD28</f>
        <v>353.399</v>
      </c>
      <c r="BE9" s="125">
        <f>'3. Earnings Build'!BE28</f>
        <v>509.051</v>
      </c>
      <c r="BF9" s="124">
        <f>SUM(BB9:BE9)</f>
        <v>1516.323</v>
      </c>
      <c r="BG9" s="125">
        <f>'3. Earnings Build'!BG28</f>
        <v>358.704</v>
      </c>
      <c r="BH9" s="125">
        <f>'3. Earnings Build'!BH28</f>
        <v>381.389</v>
      </c>
      <c r="BI9" s="125">
        <f>'3. Earnings Build'!BI28</f>
        <v>393.506</v>
      </c>
      <c r="BJ9" s="125">
        <f>'3. Earnings Build'!BJ28</f>
        <v>570.758</v>
      </c>
      <c r="BK9" s="124">
        <f>SUM(BG9:BJ9)</f>
        <v>1704.357</v>
      </c>
      <c r="BL9" s="125">
        <f>'3. Earnings Build'!BL28</f>
        <v>379.099</v>
      </c>
      <c r="BM9" s="125">
        <f>'3. Earnings Build'!BM28</f>
        <v>413.944</v>
      </c>
      <c r="BN9" s="125">
        <f>'3. Earnings Build'!BN28</f>
        <v>425.1</v>
      </c>
      <c r="BO9" s="125">
        <f>'3. Earnings Build'!BO28</f>
        <v>618.9</v>
      </c>
      <c r="BP9" s="124">
        <f>SUM(BL9:BO9)</f>
        <v>1837.043</v>
      </c>
      <c r="BQ9" s="125">
        <f>'3. Earnings Build'!BQ28</f>
        <v>433.12</v>
      </c>
      <c r="BR9" s="125">
        <f>'3. Earnings Build'!BR28</f>
        <v>486.4</v>
      </c>
      <c r="BS9" s="125">
        <f>'3. Earnings Build'!BS28</f>
        <v>476.877</v>
      </c>
      <c r="BT9" s="125">
        <f>'3. Earnings Build'!BT28</f>
        <v>729.966</v>
      </c>
      <c r="BU9" s="124">
        <f>SUM(BQ9:BT9)</f>
        <v>2126.363</v>
      </c>
      <c r="BV9" s="125">
        <f>'3. Earnings Build'!BV28</f>
        <v>506.422</v>
      </c>
      <c r="BW9" s="125">
        <f>'3. Earnings Build'!BW28</f>
        <v>583.756</v>
      </c>
      <c r="BX9" s="125">
        <f>'3. Earnings Build'!BX28</f>
        <v>579.5</v>
      </c>
      <c r="BY9" s="125">
        <f>'3. Earnings Build'!BY28</f>
        <v>831.4</v>
      </c>
      <c r="BZ9" s="124">
        <f>SUM(BV9:BY9)</f>
        <v>2501.078</v>
      </c>
      <c r="CA9" s="125">
        <f>'3. Earnings Build'!CA28</f>
        <v>259.97</v>
      </c>
      <c r="CB9" s="125">
        <f>'3. Earnings Build'!CB28</f>
        <v>287.2</v>
      </c>
      <c r="CC9" s="125">
        <f>'3. Earnings Build'!CC28</f>
        <v>511.756</v>
      </c>
      <c r="CD9" s="125">
        <f>'3. Earnings Build'!CD28</f>
        <v>599.881</v>
      </c>
      <c r="CE9" s="124">
        <f>SUM(CA9:CD9)</f>
        <v>1658.807</v>
      </c>
      <c r="CF9" s="125">
        <f>'3. Earnings Build'!CF28</f>
        <v>536.584</v>
      </c>
      <c r="CG9" s="125">
        <f>'3. Earnings Build'!CG28</f>
        <v>695.12</v>
      </c>
      <c r="CH9" s="125">
        <f>'3. Earnings Build'!CH28</f>
        <v>707.16</v>
      </c>
      <c r="CI9" s="125">
        <f>'3. Earnings Build'!CI28</f>
        <v>882.633</v>
      </c>
      <c r="CJ9" s="124">
        <f>SUM(CF9:CI9)</f>
        <v>2821.497</v>
      </c>
      <c r="CK9" s="125">
        <f>'3. Earnings Build'!CK28</f>
        <v>731.604</v>
      </c>
      <c r="CL9" s="125">
        <f>'3. Earnings Build'!CL28</f>
        <v>903.077</v>
      </c>
      <c r="CM9" s="125">
        <f>'3. Earnings Build'!CM28</f>
        <v>903.06</v>
      </c>
      <c r="CN9" s="125">
        <f>'3. Earnings Build'!CN28</f>
        <v>1110.386</v>
      </c>
      <c r="CO9" s="124">
        <f>SUM(CK9:CN9)</f>
        <v>3648.127</v>
      </c>
      <c r="CP9" s="125">
        <f>'3. Earnings Build'!CP28</f>
        <v>958.087</v>
      </c>
      <c r="CQ9" s="125">
        <f>'3. Earnings Build'!CQ28</f>
        <v>1096.939</v>
      </c>
      <c r="CR9" s="125">
        <f>'3. Earnings Build'!CR28</f>
        <v>1073.973</v>
      </c>
      <c r="CS9" s="125">
        <f>'3. Earnings Build'!CS28</f>
        <v>1281.957</v>
      </c>
      <c r="CT9" s="124">
        <f>SUM(CP9:CS9)</f>
        <v>4410.956</v>
      </c>
      <c r="CU9" s="125">
        <f>'3. Earnings Build'!CU28</f>
        <v>1070.525</v>
      </c>
      <c r="CV9" s="125">
        <f>'3. Earnings Build'!CV28</f>
        <v>1215.613</v>
      </c>
      <c r="CW9" s="125">
        <f>'3. Earnings Build'!CW28</f>
        <v>1210.523</v>
      </c>
      <c r="CX9" s="125">
        <f>'3. Earnings Build'!CX28</f>
        <v>1511.211</v>
      </c>
      <c r="CY9" s="124">
        <f>SUM(CU9:CX9)</f>
        <v>5007.872</v>
      </c>
      <c r="CZ9" s="125">
        <f>'3. Earnings Build'!CZ28</f>
        <v>1153.107</v>
      </c>
      <c r="DA9" s="125">
        <f>'3. Earnings Build'!DA28</f>
        <v>1254.952</v>
      </c>
      <c r="DB9" s="125">
        <f>'3. Earnings Build'!DB28</f>
        <v>1206.558</v>
      </c>
      <c r="DC9" s="125">
        <f>'3. Earnings Build'!DC28</f>
        <v>1435.127</v>
      </c>
      <c r="DD9" s="124">
        <f>SUM(CZ9:DC9)</f>
        <v>5049.744</v>
      </c>
      <c r="DE9" s="125">
        <f>'3. Earnings Build'!DE28</f>
        <v>1192.84</v>
      </c>
      <c r="DF9" s="125">
        <f>'3. Earnings Build'!DF28</f>
        <v>1173.747</v>
      </c>
      <c r="DI9" s="124"/>
      <c r="DN9" s="124"/>
      <c r="DS9" s="124"/>
    </row>
    <row r="10" spans="1:123">
      <c r="B10" s="501" t="s">
        <v>54</v>
      </c>
      <c r="C10" s="124">
        <f>'3. Earnings Build'!C30</f>
        <v>0</v>
      </c>
      <c r="D10" s="125">
        <f>'3. Earnings Build'!D30</f>
        <v>0</v>
      </c>
      <c r="E10" s="125">
        <f>'3. Earnings Build'!E30</f>
        <v>0</v>
      </c>
      <c r="F10" s="125">
        <f>'3. Earnings Build'!F30</f>
        <v>0</v>
      </c>
      <c r="G10" s="125">
        <f>'3. Earnings Build'!G30</f>
        <v>0</v>
      </c>
      <c r="H10" s="124">
        <f>SUM(D10:G10)</f>
        <v>0</v>
      </c>
      <c r="I10" s="125">
        <f>'3. Earnings Build'!I30</f>
        <v>0</v>
      </c>
      <c r="J10" s="125">
        <f>'3. Earnings Build'!J30</f>
        <v>0</v>
      </c>
      <c r="K10" s="125">
        <f>'3. Earnings Build'!K30</f>
        <v>0</v>
      </c>
      <c r="L10" s="125">
        <f>'3. Earnings Build'!L30</f>
        <v>0</v>
      </c>
      <c r="M10" s="124">
        <f>SUM(I10:L10)</f>
        <v>0</v>
      </c>
      <c r="N10" s="125">
        <f>'3. Earnings Build'!N30</f>
        <v>0</v>
      </c>
      <c r="O10" s="125">
        <f>'3. Earnings Build'!O30</f>
        <v>0</v>
      </c>
      <c r="P10" s="125">
        <f>'3. Earnings Build'!P30</f>
        <v>0</v>
      </c>
      <c r="Q10" s="125">
        <f>'3. Earnings Build'!Q30</f>
        <v>0</v>
      </c>
      <c r="R10" s="124">
        <f>SUM(N10:Q10)</f>
        <v>0</v>
      </c>
      <c r="S10" s="125">
        <f>'3. Earnings Build'!S30</f>
        <v>0</v>
      </c>
      <c r="T10" s="125">
        <f>'3. Earnings Build'!T30</f>
        <v>0</v>
      </c>
      <c r="U10" s="125">
        <f>'3. Earnings Build'!U30</f>
        <v>0</v>
      </c>
      <c r="V10" s="125">
        <f>'3. Earnings Build'!V30</f>
        <v>0</v>
      </c>
      <c r="W10" s="124">
        <f>SUM(S10:V10)</f>
        <v>0</v>
      </c>
      <c r="X10" s="125">
        <f>'3. Earnings Build'!X30</f>
        <v>0.869</v>
      </c>
      <c r="Y10" s="125">
        <f>'3. Earnings Build'!Y30</f>
        <v>2.8</v>
      </c>
      <c r="Z10" s="125">
        <f>'3. Earnings Build'!Z30</f>
        <v>4.2</v>
      </c>
      <c r="AA10" s="125">
        <f>'3. Earnings Build'!AA30</f>
        <v>8.4</v>
      </c>
      <c r="AB10" s="124">
        <f>SUM(X10:AA10)</f>
        <v>16.269</v>
      </c>
      <c r="AC10" s="125">
        <f>'3. Earnings Build'!AC30</f>
        <v>9.1278</v>
      </c>
      <c r="AD10" s="125">
        <f>'3. Earnings Build'!AD30</f>
        <v>9.6</v>
      </c>
      <c r="AE10" s="125">
        <f>'3. Earnings Build'!AE30</f>
        <v>13.4</v>
      </c>
      <c r="AF10" s="125">
        <f>'3. Earnings Build'!AF30</f>
        <v>24.6</v>
      </c>
      <c r="AG10" s="124">
        <f>SUM(AC10:AF10)</f>
        <v>56.7278</v>
      </c>
      <c r="AH10" s="125">
        <f>'3. Earnings Build'!AH30</f>
        <v>13.82172</v>
      </c>
      <c r="AI10" s="125">
        <f>'3. Earnings Build'!AI30</f>
        <v>18.6</v>
      </c>
      <c r="AJ10" s="125">
        <f>'3. Earnings Build'!AJ30</f>
        <v>23.9</v>
      </c>
      <c r="AK10" s="125">
        <f>'3. Earnings Build'!AK30</f>
        <v>50.1</v>
      </c>
      <c r="AL10" s="124">
        <f>SUM(AH10:AK10)</f>
        <v>106.42172</v>
      </c>
      <c r="AM10" s="125">
        <f>'3. Earnings Build'!AM30</f>
        <v>38.447</v>
      </c>
      <c r="AN10" s="125">
        <f>'3. Earnings Build'!AN30</f>
        <v>35.422</v>
      </c>
      <c r="AO10" s="125">
        <f>'3. Earnings Build'!AO30</f>
        <v>45.122</v>
      </c>
      <c r="AP10" s="125">
        <f>'3. Earnings Build'!AP30</f>
        <v>78.3</v>
      </c>
      <c r="AQ10" s="124">
        <f>SUM(AM10:AP10)</f>
        <v>197.291</v>
      </c>
      <c r="AR10" s="125">
        <f>'3. Earnings Build'!AR30</f>
        <v>53.967</v>
      </c>
      <c r="AS10" s="125">
        <f>'3. Earnings Build'!AS30</f>
        <v>49.384</v>
      </c>
      <c r="AT10" s="125">
        <f>'3. Earnings Build'!AT30</f>
        <v>61.954</v>
      </c>
      <c r="AU10" s="125">
        <f>'3. Earnings Build'!AU30</f>
        <v>97.778</v>
      </c>
      <c r="AV10" s="124">
        <f>SUM(AR10:AU10)</f>
        <v>263.083</v>
      </c>
      <c r="AW10" s="125">
        <f>'3. Earnings Build'!AW30</f>
        <v>65.974</v>
      </c>
      <c r="AX10" s="125">
        <f>'3. Earnings Build'!AX30</f>
        <v>63.5</v>
      </c>
      <c r="AY10" s="125">
        <f>'3. Earnings Build'!AY30</f>
        <v>77.203</v>
      </c>
      <c r="AZ10" s="125">
        <f>'3. Earnings Build'!AZ30</f>
        <v>114.5</v>
      </c>
      <c r="BA10" s="124">
        <f>SUM(AW10:AZ10)</f>
        <v>321.177</v>
      </c>
      <c r="BB10" s="125">
        <f>'3. Earnings Build'!BB30</f>
        <v>83.636</v>
      </c>
      <c r="BC10" s="125">
        <f>'3. Earnings Build'!BC30</f>
        <v>82.239</v>
      </c>
      <c r="BD10" s="125">
        <f>'3. Earnings Build'!BD30</f>
        <v>89.33</v>
      </c>
      <c r="BE10" s="125">
        <f>'3. Earnings Build'!BE30</f>
        <v>146.32</v>
      </c>
      <c r="BF10" s="124">
        <f>SUM(BB10:BE10)</f>
        <v>401.525</v>
      </c>
      <c r="BG10" s="125">
        <f>'3. Earnings Build'!BG30</f>
        <v>97.566</v>
      </c>
      <c r="BH10" s="125">
        <f>'3. Earnings Build'!BH30</f>
        <v>87.399</v>
      </c>
      <c r="BI10" s="125">
        <f>'3. Earnings Build'!BI30</f>
        <v>104.013</v>
      </c>
      <c r="BJ10" s="125">
        <f>'3. Earnings Build'!BJ30</f>
        <v>164.309</v>
      </c>
      <c r="BK10" s="124">
        <f>SUM(BG10:BJ10)</f>
        <v>453.287</v>
      </c>
      <c r="BL10" s="125">
        <f>'3. Earnings Build'!BL30</f>
        <v>97.223</v>
      </c>
      <c r="BM10" s="125">
        <f>'3. Earnings Build'!BM30</f>
        <v>113.049</v>
      </c>
      <c r="BN10" s="125">
        <f>'3. Earnings Build'!BN30</f>
        <v>131.181</v>
      </c>
      <c r="BO10" s="125">
        <f>'3. Earnings Build'!BO30</f>
        <v>236.14</v>
      </c>
      <c r="BP10" s="124">
        <f>SUM(BL10:BO10)</f>
        <v>577.593</v>
      </c>
      <c r="BQ10" s="125">
        <f>'3. Earnings Build'!BQ30</f>
        <v>157.82</v>
      </c>
      <c r="BR10" s="125">
        <f>'3. Earnings Build'!BR30</f>
        <v>167.4</v>
      </c>
      <c r="BS10" s="125">
        <f>'3. Earnings Build'!BS30</f>
        <v>189.375</v>
      </c>
      <c r="BT10" s="125">
        <f>'3. Earnings Build'!BT30</f>
        <v>344.261</v>
      </c>
      <c r="BU10" s="124">
        <f>SUM(BQ10:BT10)</f>
        <v>858.856</v>
      </c>
      <c r="BV10" s="125">
        <f>'3. Earnings Build'!BV30</f>
        <v>209.844</v>
      </c>
      <c r="BW10" s="125">
        <f>'3. Earnings Build'!BW30</f>
        <v>217.636</v>
      </c>
      <c r="BX10" s="125">
        <f>'3. Earnings Build'!BX30</f>
        <v>246.7</v>
      </c>
      <c r="BY10" s="125">
        <f>'3. Earnings Build'!BY30</f>
        <v>463.6</v>
      </c>
      <c r="BZ10" s="124">
        <f>SUM(BV10:BY10)</f>
        <v>1137.78</v>
      </c>
      <c r="CA10" s="125">
        <f>'3. Earnings Build'!CA30</f>
        <v>352.039</v>
      </c>
      <c r="CB10" s="125">
        <f>'3. Earnings Build'!CB30</f>
        <v>554.3</v>
      </c>
      <c r="CC10" s="125">
        <f>'3. Earnings Build'!CC30</f>
        <v>478.263</v>
      </c>
      <c r="CD10" s="125">
        <f>'3. Earnings Build'!CD30</f>
        <v>899.466</v>
      </c>
      <c r="CE10" s="124">
        <f>SUM(CA10:CD10)</f>
        <v>2284.068</v>
      </c>
      <c r="CF10" s="125">
        <f>'3. Earnings Build'!CF30</f>
        <v>545.1</v>
      </c>
      <c r="CG10" s="125">
        <f>'3. Earnings Build'!CG30</f>
        <v>597.426</v>
      </c>
      <c r="CH10" s="125">
        <f>'3. Earnings Build'!CH30</f>
        <v>586.525</v>
      </c>
      <c r="CI10" s="125">
        <f>'3. Earnings Build'!CI30</f>
        <v>1048.893</v>
      </c>
      <c r="CJ10" s="124">
        <f>SUM(CF10:CI10)</f>
        <v>2777.944</v>
      </c>
      <c r="CK10" s="125">
        <f>'3. Earnings Build'!CK30</f>
        <v>721.253</v>
      </c>
      <c r="CL10" s="125">
        <f>'3. Earnings Build'!CL30</f>
        <v>775.425</v>
      </c>
      <c r="CM10" s="125">
        <f>'3. Earnings Build'!CM30</f>
        <v>767.351</v>
      </c>
      <c r="CN10" s="125">
        <f>'3. Earnings Build'!CN30</f>
        <v>1435.762</v>
      </c>
      <c r="CO10" s="124">
        <f>SUM(CK10:CN10)</f>
        <v>3699.791</v>
      </c>
      <c r="CP10" s="125">
        <f>'3. Earnings Build'!CP30</f>
        <v>834.942</v>
      </c>
      <c r="CQ10" s="125">
        <f>'3. Earnings Build'!CQ30</f>
        <v>893.673</v>
      </c>
      <c r="CR10" s="125">
        <f>'3. Earnings Build'!CR30</f>
        <v>908.127</v>
      </c>
      <c r="CS10" s="125">
        <f>'3. Earnings Build'!CS30</f>
        <v>1674.368</v>
      </c>
      <c r="CT10" s="124">
        <f>SUM(CP10:CS10)</f>
        <v>4311.11</v>
      </c>
      <c r="CU10" s="125">
        <f>'3. Earnings Build'!CU30</f>
        <v>905.787</v>
      </c>
      <c r="CV10" s="125">
        <f>'3. Earnings Build'!CV30</f>
        <v>910.637</v>
      </c>
      <c r="CW10" s="125">
        <f>'3. Earnings Build'!CW30</f>
        <v>944.777</v>
      </c>
      <c r="CX10" s="125">
        <f>'3. Earnings Build'!CX30</f>
        <v>1809.245</v>
      </c>
      <c r="CY10" s="124">
        <f>SUM(CU10:CX10)</f>
        <v>4570.446</v>
      </c>
      <c r="CZ10" s="125">
        <f>'3. Earnings Build'!CZ30</f>
        <v>960.89</v>
      </c>
      <c r="DA10" s="125">
        <f>'3. Earnings Build'!DA30</f>
        <v>993.093</v>
      </c>
      <c r="DB10" s="125">
        <f>'3. Earnings Build'!DB30</f>
        <v>1066.75</v>
      </c>
      <c r="DC10" s="125">
        <f>'3. Earnings Build'!DC30</f>
        <v>1897.964</v>
      </c>
      <c r="DD10" s="124">
        <f>SUM(CZ10:DC10)</f>
        <v>4918.697</v>
      </c>
      <c r="DE10" s="125">
        <f>'3. Earnings Build'!DE30</f>
        <v>997.442</v>
      </c>
      <c r="DF10" s="125">
        <f>'3. Earnings Build'!DF30</f>
        <v>934.63</v>
      </c>
      <c r="DI10" s="124"/>
      <c r="DN10" s="124"/>
      <c r="DS10" s="124"/>
    </row>
    <row r="11" spans="1:123">
      <c r="B11" s="501" t="s">
        <v>55</v>
      </c>
      <c r="C11" s="124">
        <f>'3. Earnings Build'!C32</f>
        <v>10.843</v>
      </c>
      <c r="D11" s="125">
        <f>'3. Earnings Build'!D32</f>
        <v>4.578</v>
      </c>
      <c r="E11" s="125">
        <f>'3. Earnings Build'!E32</f>
        <v>3.671</v>
      </c>
      <c r="F11" s="125">
        <f>'3. Earnings Build'!F32</f>
        <v>4.364</v>
      </c>
      <c r="G11" s="125">
        <f>'3. Earnings Build'!G32</f>
        <v>5.93909300000001</v>
      </c>
      <c r="H11" s="124">
        <f>SUM(D11:G11)</f>
        <v>18.552093</v>
      </c>
      <c r="I11" s="125">
        <f>'3. Earnings Build'!I32</f>
        <v>6.038</v>
      </c>
      <c r="J11" s="125">
        <f>'3. Earnings Build'!J32</f>
        <v>5.686437</v>
      </c>
      <c r="K11" s="125">
        <f>'3. Earnings Build'!K32</f>
        <v>6.822615</v>
      </c>
      <c r="L11" s="125">
        <f>'3. Earnings Build'!L32</f>
        <v>9.60378200000001</v>
      </c>
      <c r="M11" s="124">
        <f>SUM(I11:L11)</f>
        <v>28.150834</v>
      </c>
      <c r="N11" s="125">
        <f>'3. Earnings Build'!N32</f>
        <v>6.781456</v>
      </c>
      <c r="O11" s="125">
        <f>'3. Earnings Build'!O32</f>
        <v>5.580944</v>
      </c>
      <c r="P11" s="125">
        <f>'3. Earnings Build'!P32</f>
        <v>6.25028</v>
      </c>
      <c r="Q11" s="125">
        <f>'3. Earnings Build'!Q32</f>
        <v>12.592648</v>
      </c>
      <c r="R11" s="124">
        <f>SUM(N11:Q11)</f>
        <v>31.205328</v>
      </c>
      <c r="S11" s="125">
        <f>'3. Earnings Build'!S32</f>
        <v>7.567494</v>
      </c>
      <c r="T11" s="125">
        <f>'3. Earnings Build'!T32</f>
        <v>7.184223</v>
      </c>
      <c r="U11" s="125">
        <f>'3. Earnings Build'!U32</f>
        <v>9.447135</v>
      </c>
      <c r="V11" s="125">
        <f>'3. Earnings Build'!V32</f>
        <v>14.873197</v>
      </c>
      <c r="W11" s="124">
        <f>SUM(S11:V11)</f>
        <v>39.072049</v>
      </c>
      <c r="X11" s="125">
        <f>'3. Earnings Build'!X32</f>
        <v>8.78</v>
      </c>
      <c r="Y11" s="125">
        <f>'3. Earnings Build'!Y32</f>
        <v>9.82100000000001</v>
      </c>
      <c r="Z11" s="125">
        <f>'3. Earnings Build'!Z32</f>
        <v>10.591</v>
      </c>
      <c r="AA11" s="125">
        <f>'3. Earnings Build'!AA32</f>
        <v>13.906</v>
      </c>
      <c r="AB11" s="124">
        <f>SUM(X11:AA11)</f>
        <v>43.098</v>
      </c>
      <c r="AC11" s="125">
        <f>'3. Earnings Build'!AC32</f>
        <v>13.5722</v>
      </c>
      <c r="AD11" s="125">
        <f>'3. Earnings Build'!AD32</f>
        <v>13.208</v>
      </c>
      <c r="AE11" s="125">
        <f>'3. Earnings Build'!AE32</f>
        <v>19.2</v>
      </c>
      <c r="AF11" s="125">
        <f>'3. Earnings Build'!AF32</f>
        <v>17.999</v>
      </c>
      <c r="AG11" s="124">
        <f>SUM(AC11:AF11)</f>
        <v>63.9792</v>
      </c>
      <c r="AH11" s="125">
        <f>'3. Earnings Build'!AH32</f>
        <v>16.45828</v>
      </c>
      <c r="AI11" s="125">
        <f>'3. Earnings Build'!AI32</f>
        <v>15.5</v>
      </c>
      <c r="AJ11" s="125">
        <f>'3. Earnings Build'!AJ32</f>
        <v>16.3</v>
      </c>
      <c r="AK11" s="125">
        <f>'3. Earnings Build'!AK32</f>
        <v>28.94972</v>
      </c>
      <c r="AL11" s="124">
        <f>SUM(AH11:AK11)</f>
        <v>77.208</v>
      </c>
      <c r="AM11" s="125">
        <f>'3. Earnings Build'!AM32</f>
        <v>18.462</v>
      </c>
      <c r="AN11" s="125">
        <f>'3. Earnings Build'!AN32</f>
        <v>15.898</v>
      </c>
      <c r="AO11" s="125">
        <f>'3. Earnings Build'!AO32</f>
        <v>19.369</v>
      </c>
      <c r="AP11" s="125">
        <f>'3. Earnings Build'!AP32</f>
        <v>29.193</v>
      </c>
      <c r="AQ11" s="124">
        <f>SUM(AM11:AP11)</f>
        <v>82.922</v>
      </c>
      <c r="AR11" s="125">
        <f>'3. Earnings Build'!AR32</f>
        <v>22.458</v>
      </c>
      <c r="AS11" s="125">
        <f>'3. Earnings Build'!AS32</f>
        <v>21.361</v>
      </c>
      <c r="AT11" s="125">
        <f>'3. Earnings Build'!AT32</f>
        <v>27.28</v>
      </c>
      <c r="AU11" s="125">
        <f>'3. Earnings Build'!AU32</f>
        <v>28.007</v>
      </c>
      <c r="AV11" s="124">
        <f>SUM(AR11:AU11)</f>
        <v>99.106</v>
      </c>
      <c r="AW11" s="125">
        <f>'3. Earnings Build'!AW32</f>
        <v>30.543</v>
      </c>
      <c r="AX11" s="125">
        <f>'3. Earnings Build'!AX32</f>
        <v>33.187</v>
      </c>
      <c r="AY11" s="125">
        <f>'3. Earnings Build'!AY32</f>
        <v>32.179</v>
      </c>
      <c r="AZ11" s="125">
        <f>'3. Earnings Build'!AZ32</f>
        <v>31.899</v>
      </c>
      <c r="BA11" s="124">
        <f>SUM(AW11:AZ11)</f>
        <v>127.808</v>
      </c>
      <c r="BB11" s="125">
        <f>'3. Earnings Build'!BB32</f>
        <v>25.814</v>
      </c>
      <c r="BC11" s="125">
        <f>'3. Earnings Build'!BC32</f>
        <v>30.992</v>
      </c>
      <c r="BD11" s="125">
        <f>'3. Earnings Build'!BD32</f>
        <v>36.964</v>
      </c>
      <c r="BE11" s="125">
        <f>'3. Earnings Build'!BE32</f>
        <v>48.905</v>
      </c>
      <c r="BF11" s="124">
        <f>SUM(BB11:BE11)</f>
        <v>142.675</v>
      </c>
      <c r="BG11" s="125">
        <f>'3. Earnings Build'!BG32</f>
        <v>39.246</v>
      </c>
      <c r="BH11" s="125">
        <f>'3. Earnings Build'!BH32</f>
        <v>45.732</v>
      </c>
      <c r="BI11" s="125">
        <f>'3. Earnings Build'!BI32</f>
        <v>46.897</v>
      </c>
      <c r="BJ11" s="125">
        <f>'3. Earnings Build'!BJ32</f>
        <v>54.873</v>
      </c>
      <c r="BK11" s="124">
        <f>SUM(BG11:BJ11)</f>
        <v>186.748</v>
      </c>
      <c r="BL11" s="125">
        <f>'3. Earnings Build'!BL32</f>
        <v>43.985</v>
      </c>
      <c r="BM11" s="125">
        <f>'3. Earnings Build'!BM32</f>
        <v>54.061</v>
      </c>
      <c r="BN11" s="125">
        <f>'3. Earnings Build'!BN32</f>
        <v>62.753</v>
      </c>
      <c r="BO11" s="125">
        <f>'3. Earnings Build'!BO32</f>
        <v>73.74</v>
      </c>
      <c r="BP11" s="124">
        <f>SUM(BL11:BO11)</f>
        <v>234.539</v>
      </c>
      <c r="BQ11" s="125">
        <f>'3. Earnings Build'!BQ32</f>
        <v>58.72</v>
      </c>
      <c r="BR11" s="125">
        <f>'3. Earnings Build'!BR32</f>
        <v>69.7</v>
      </c>
      <c r="BS11" s="125">
        <f>'3. Earnings Build'!BS32</f>
        <v>81.403</v>
      </c>
      <c r="BT11" s="125">
        <f>'3. Earnings Build'!BT32</f>
        <v>93.277</v>
      </c>
      <c r="BU11" s="124">
        <f>SUM(BQ11:BT11)</f>
        <v>303.1</v>
      </c>
      <c r="BV11" s="125">
        <f>'3. Earnings Build'!BV32</f>
        <v>66.049</v>
      </c>
      <c r="BW11" s="125">
        <f>'3. Earnings Build'!BW32</f>
        <v>81.96</v>
      </c>
      <c r="BX11" s="125">
        <f>'3. Earnings Build'!BX32</f>
        <v>89.9</v>
      </c>
      <c r="BY11" s="125">
        <f>'3. Earnings Build'!BY32</f>
        <v>102.5</v>
      </c>
      <c r="BZ11" s="124">
        <f>SUM(BV11:BY11)</f>
        <v>340.409</v>
      </c>
      <c r="CA11" s="125">
        <f>'3. Earnings Build'!CA32</f>
        <v>39.953</v>
      </c>
      <c r="CB11" s="125">
        <f>'3. Earnings Build'!CB32</f>
        <v>61.439</v>
      </c>
      <c r="CC11" s="125">
        <f>'3. Earnings Build'!CC32</f>
        <v>127.407</v>
      </c>
      <c r="CD11" s="125">
        <f>'3. Earnings Build'!CD32</f>
        <v>230.205</v>
      </c>
      <c r="CE11" s="124">
        <f>SUM(CA11:CD11)</f>
        <v>459.004</v>
      </c>
      <c r="CF11" s="125">
        <f>'3. Earnings Build'!CF32</f>
        <v>144.792</v>
      </c>
      <c r="CG11" s="125">
        <f>'3. Earnings Build'!CG32</f>
        <v>158.072</v>
      </c>
      <c r="CH11" s="125">
        <f>'3. Earnings Build'!CH32</f>
        <v>156.736</v>
      </c>
      <c r="CI11" s="125">
        <f>'3. Earnings Build'!CI32</f>
        <v>197.576</v>
      </c>
      <c r="CJ11" s="124">
        <f>SUM(CF11:CI11)</f>
        <v>657.176</v>
      </c>
      <c r="CK11" s="125">
        <f>'3. Earnings Build'!CK32</f>
        <v>160.606</v>
      </c>
      <c r="CL11" s="125">
        <f>'3. Earnings Build'!CL32</f>
        <v>189.826</v>
      </c>
      <c r="CM11" s="125">
        <f>'3. Earnings Build'!CM32</f>
        <v>186.478</v>
      </c>
      <c r="CN11" s="125">
        <f>'3. Earnings Build'!CN32</f>
        <v>225.69</v>
      </c>
      <c r="CO11" s="124">
        <f>SUM(CK11:CN11)</f>
        <v>762.6</v>
      </c>
      <c r="CP11" s="125">
        <f>'3. Earnings Build'!CP32</f>
        <v>207.763</v>
      </c>
      <c r="CQ11" s="125">
        <f>'3. Earnings Build'!CQ32</f>
        <v>218.553</v>
      </c>
      <c r="CR11" s="125">
        <f>'3. Earnings Build'!CR32</f>
        <v>222.118</v>
      </c>
      <c r="CS11" s="125">
        <f>'3. Earnings Build'!CS32</f>
        <v>248.778</v>
      </c>
      <c r="CT11" s="124">
        <f>SUM(CP11:CS11)</f>
        <v>897.212</v>
      </c>
      <c r="CU11" s="125">
        <f>'3. Earnings Build'!CU32</f>
        <v>232.579</v>
      </c>
      <c r="CV11" s="125">
        <f>'3. Earnings Build'!CV32</f>
        <v>244.828</v>
      </c>
      <c r="CW11" s="125">
        <f>'3. Earnings Build'!CW32</f>
        <v>241.36</v>
      </c>
      <c r="CX11" s="125">
        <f>'3. Earnings Build'!CX32</f>
        <v>291.041</v>
      </c>
      <c r="CY11" s="124">
        <f>SUM(CU11:CX11)</f>
        <v>1009.808</v>
      </c>
      <c r="CZ11" s="125">
        <f>'3. Earnings Build'!CZ32</f>
        <v>256.663</v>
      </c>
      <c r="DA11" s="125">
        <f>'3. Earnings Build'!DA32</f>
        <v>277.174</v>
      </c>
      <c r="DB11" s="125">
        <f>'3. Earnings Build'!DB32</f>
        <v>292.612</v>
      </c>
      <c r="DC11" s="125">
        <f>'3. Earnings Build'!DC32</f>
        <v>307.71</v>
      </c>
      <c r="DD11" s="124">
        <f>SUM(CZ11:DC11)</f>
        <v>1134.159</v>
      </c>
      <c r="DE11" s="125">
        <f>'3. Earnings Build'!DE32</f>
        <v>281.321</v>
      </c>
      <c r="DF11" s="125">
        <f>'3. Earnings Build'!DF32</f>
        <v>307.254</v>
      </c>
      <c r="DI11" s="124"/>
      <c r="DN11" s="124"/>
      <c r="DS11" s="124"/>
    </row>
    <row r="12" s="3" customFormat="1" spans="1:123">
      <c r="A12" s="132"/>
      <c r="B12" s="508" t="s">
        <v>56</v>
      </c>
      <c r="C12" s="131">
        <f t="shared" ref="C12:AH12" si="10">SUM(C9:C11)</f>
        <v>40.749</v>
      </c>
      <c r="D12" s="132">
        <f t="shared" si="10"/>
        <v>15.63</v>
      </c>
      <c r="E12" s="132">
        <f t="shared" si="10"/>
        <v>17.126</v>
      </c>
      <c r="F12" s="132">
        <f t="shared" si="10"/>
        <v>19.984</v>
      </c>
      <c r="G12" s="132">
        <f t="shared" si="10"/>
        <v>31.389093</v>
      </c>
      <c r="H12" s="131">
        <f t="shared" si="10"/>
        <v>84.129093</v>
      </c>
      <c r="I12" s="132">
        <f t="shared" si="10"/>
        <v>28.184</v>
      </c>
      <c r="J12" s="132">
        <f t="shared" si="10"/>
        <v>32.517437</v>
      </c>
      <c r="K12" s="132">
        <f t="shared" si="10"/>
        <v>35.967615</v>
      </c>
      <c r="L12" s="132">
        <f t="shared" si="10"/>
        <v>52.215782</v>
      </c>
      <c r="M12" s="131">
        <f t="shared" si="10"/>
        <v>148.884834</v>
      </c>
      <c r="N12" s="132">
        <f t="shared" si="10"/>
        <v>44.789456</v>
      </c>
      <c r="O12" s="132">
        <f t="shared" si="10"/>
        <v>58.680944</v>
      </c>
      <c r="P12" s="132">
        <f t="shared" si="10"/>
        <v>66.15028</v>
      </c>
      <c r="Q12" s="132">
        <f t="shared" si="10"/>
        <v>105.092648</v>
      </c>
      <c r="R12" s="131">
        <f t="shared" si="10"/>
        <v>274.713328</v>
      </c>
      <c r="S12" s="132">
        <f t="shared" si="10"/>
        <v>78.167494</v>
      </c>
      <c r="T12" s="132">
        <f t="shared" si="10"/>
        <v>85.484223</v>
      </c>
      <c r="U12" s="132">
        <f t="shared" si="10"/>
        <v>87.047135</v>
      </c>
      <c r="V12" s="132">
        <f t="shared" si="10"/>
        <v>103.921</v>
      </c>
      <c r="W12" s="131">
        <f t="shared" si="10"/>
        <v>354.619852</v>
      </c>
      <c r="X12" s="132">
        <f t="shared" si="10"/>
        <v>81.68</v>
      </c>
      <c r="Y12" s="132">
        <f t="shared" si="10"/>
        <v>97.721</v>
      </c>
      <c r="Z12" s="132">
        <f t="shared" si="10"/>
        <v>112.891</v>
      </c>
      <c r="AA12" s="132">
        <f t="shared" si="10"/>
        <v>160.606</v>
      </c>
      <c r="AB12" s="131">
        <f t="shared" si="10"/>
        <v>452.898</v>
      </c>
      <c r="AC12" s="132">
        <f t="shared" si="10"/>
        <v>138.297</v>
      </c>
      <c r="AD12" s="132">
        <f t="shared" si="10"/>
        <v>152.208</v>
      </c>
      <c r="AE12" s="132">
        <f t="shared" si="10"/>
        <v>175.8</v>
      </c>
      <c r="AF12" s="132">
        <f t="shared" si="10"/>
        <v>245.399</v>
      </c>
      <c r="AG12" s="131">
        <f t="shared" si="10"/>
        <v>711.704</v>
      </c>
      <c r="AH12" s="132">
        <f t="shared" si="10"/>
        <v>186.78</v>
      </c>
      <c r="AI12" s="132">
        <f t="shared" ref="AI12:BN12" si="11">SUM(AI9:AI11)</f>
        <v>212.323</v>
      </c>
      <c r="AJ12" s="132">
        <f t="shared" si="11"/>
        <v>230.216</v>
      </c>
      <c r="AK12" s="132">
        <f t="shared" si="11"/>
        <v>371.52</v>
      </c>
      <c r="AL12" s="131">
        <f t="shared" si="11"/>
        <v>1000.839</v>
      </c>
      <c r="AM12" s="132">
        <f t="shared" si="11"/>
        <v>285.698</v>
      </c>
      <c r="AN12" s="132">
        <f t="shared" si="11"/>
        <v>282.634</v>
      </c>
      <c r="AO12" s="132">
        <f t="shared" si="11"/>
        <v>316.537</v>
      </c>
      <c r="AP12" s="132">
        <f t="shared" si="11"/>
        <v>485.525</v>
      </c>
      <c r="AQ12" s="131">
        <f t="shared" si="11"/>
        <v>1370.394</v>
      </c>
      <c r="AR12" s="132">
        <f t="shared" si="11"/>
        <v>345.782</v>
      </c>
      <c r="AS12" s="132">
        <f t="shared" si="11"/>
        <v>344.513</v>
      </c>
      <c r="AT12" s="132">
        <f t="shared" si="11"/>
        <v>379.9</v>
      </c>
      <c r="AU12" s="132">
        <f t="shared" si="11"/>
        <v>520.993</v>
      </c>
      <c r="AV12" s="131">
        <f t="shared" si="11"/>
        <v>1591.188</v>
      </c>
      <c r="AW12" s="132">
        <f t="shared" si="11"/>
        <v>384.618</v>
      </c>
      <c r="AX12" s="132">
        <f t="shared" si="11"/>
        <v>390.727</v>
      </c>
      <c r="AY12" s="132">
        <f t="shared" si="11"/>
        <v>419.396</v>
      </c>
      <c r="AZ12" s="132">
        <f t="shared" si="11"/>
        <v>602.469</v>
      </c>
      <c r="BA12" s="131">
        <f t="shared" si="11"/>
        <v>1797.21</v>
      </c>
      <c r="BB12" s="132">
        <f t="shared" si="11"/>
        <v>423.544</v>
      </c>
      <c r="BC12" s="132">
        <f t="shared" si="11"/>
        <v>453.01</v>
      </c>
      <c r="BD12" s="132">
        <f t="shared" si="11"/>
        <v>479.693</v>
      </c>
      <c r="BE12" s="132">
        <f t="shared" si="11"/>
        <v>704.276</v>
      </c>
      <c r="BF12" s="131">
        <f t="shared" si="11"/>
        <v>2060.523</v>
      </c>
      <c r="BG12" s="132">
        <f t="shared" si="11"/>
        <v>495.516</v>
      </c>
      <c r="BH12" s="132">
        <f t="shared" si="11"/>
        <v>514.52</v>
      </c>
      <c r="BI12" s="132">
        <f t="shared" si="11"/>
        <v>544.416</v>
      </c>
      <c r="BJ12" s="132">
        <f t="shared" si="11"/>
        <v>789.94</v>
      </c>
      <c r="BK12" s="131">
        <f t="shared" si="11"/>
        <v>2344.392</v>
      </c>
      <c r="BL12" s="132">
        <f t="shared" si="11"/>
        <v>520.307</v>
      </c>
      <c r="BM12" s="132">
        <f t="shared" si="11"/>
        <v>581.054</v>
      </c>
      <c r="BN12" s="132">
        <f t="shared" si="11"/>
        <v>619.034</v>
      </c>
      <c r="BO12" s="132">
        <f t="shared" ref="BO12:CV12" si="12">SUM(BO9:BO11)</f>
        <v>928.78</v>
      </c>
      <c r="BP12" s="131">
        <f t="shared" si="12"/>
        <v>2649.175</v>
      </c>
      <c r="BQ12" s="132">
        <f t="shared" si="12"/>
        <v>649.66</v>
      </c>
      <c r="BR12" s="132">
        <f t="shared" si="12"/>
        <v>723.5</v>
      </c>
      <c r="BS12" s="132">
        <f t="shared" si="12"/>
        <v>747.655</v>
      </c>
      <c r="BT12" s="132">
        <f t="shared" si="12"/>
        <v>1167.504</v>
      </c>
      <c r="BU12" s="131">
        <f t="shared" si="12"/>
        <v>3288.319</v>
      </c>
      <c r="BV12" s="132">
        <f t="shared" si="12"/>
        <v>782.315</v>
      </c>
      <c r="BW12" s="132">
        <f t="shared" si="12"/>
        <v>883.352</v>
      </c>
      <c r="BX12" s="132">
        <f t="shared" si="12"/>
        <v>916.1</v>
      </c>
      <c r="BY12" s="132">
        <f t="shared" si="12"/>
        <v>1397.5</v>
      </c>
      <c r="BZ12" s="131">
        <f t="shared" si="12"/>
        <v>3979.267</v>
      </c>
      <c r="CA12" s="132">
        <f t="shared" si="12"/>
        <v>651.962</v>
      </c>
      <c r="CB12" s="132">
        <f t="shared" si="12"/>
        <v>902.939</v>
      </c>
      <c r="CC12" s="132">
        <f t="shared" si="12"/>
        <v>1117.426</v>
      </c>
      <c r="CD12" s="132">
        <f t="shared" si="12"/>
        <v>1729.552</v>
      </c>
      <c r="CE12" s="131">
        <f t="shared" si="12"/>
        <v>4401.879</v>
      </c>
      <c r="CF12" s="132">
        <f t="shared" si="12"/>
        <v>1226.476</v>
      </c>
      <c r="CG12" s="132">
        <f t="shared" si="12"/>
        <v>1450.618</v>
      </c>
      <c r="CH12" s="132">
        <f t="shared" si="12"/>
        <v>1450.421</v>
      </c>
      <c r="CI12" s="132">
        <f t="shared" si="12"/>
        <v>2129.102</v>
      </c>
      <c r="CJ12" s="131">
        <f t="shared" si="12"/>
        <v>6256.617</v>
      </c>
      <c r="CK12" s="132">
        <f t="shared" si="12"/>
        <v>1613.463</v>
      </c>
      <c r="CL12" s="132">
        <f t="shared" si="12"/>
        <v>1868.328</v>
      </c>
      <c r="CM12" s="132">
        <f t="shared" si="12"/>
        <v>1856.889</v>
      </c>
      <c r="CN12" s="132">
        <f t="shared" si="12"/>
        <v>2771.838</v>
      </c>
      <c r="CO12" s="131">
        <f t="shared" si="12"/>
        <v>8110.518</v>
      </c>
      <c r="CP12" s="132">
        <f t="shared" si="12"/>
        <v>2000.792</v>
      </c>
      <c r="CQ12" s="132">
        <f t="shared" si="12"/>
        <v>2209.165</v>
      </c>
      <c r="CR12" s="132">
        <f t="shared" si="12"/>
        <v>2204.218</v>
      </c>
      <c r="CS12" s="132">
        <f t="shared" si="12"/>
        <v>3205.103</v>
      </c>
      <c r="CT12" s="131">
        <f t="shared" si="12"/>
        <v>9619.278</v>
      </c>
      <c r="CU12" s="132">
        <f t="shared" si="12"/>
        <v>2208.891</v>
      </c>
      <c r="CV12" s="132">
        <f t="shared" si="12"/>
        <v>2371.078</v>
      </c>
      <c r="CW12" s="132">
        <f t="shared" ref="CW12:CZ12" si="13">SUM(CW9:CW11)</f>
        <v>2396.66</v>
      </c>
      <c r="CX12" s="132">
        <f t="shared" si="13"/>
        <v>3611.497</v>
      </c>
      <c r="CY12" s="131">
        <f t="shared" si="13"/>
        <v>10588.126</v>
      </c>
      <c r="CZ12" s="132">
        <f t="shared" si="13"/>
        <v>2370.66</v>
      </c>
      <c r="DA12" s="132">
        <f t="shared" ref="DA12:DE12" si="14">SUM(DA9:DA11)</f>
        <v>2525.219</v>
      </c>
      <c r="DB12" s="132">
        <f t="shared" si="14"/>
        <v>2565.92</v>
      </c>
      <c r="DC12" s="132">
        <f t="shared" si="14"/>
        <v>3640.801</v>
      </c>
      <c r="DD12" s="131">
        <f t="shared" si="14"/>
        <v>11102.6</v>
      </c>
      <c r="DE12" s="132">
        <f t="shared" si="14"/>
        <v>2471.603</v>
      </c>
      <c r="DF12" s="132">
        <f t="shared" ref="DF12" si="15">SUM(DF9:DF11)</f>
        <v>2415.631</v>
      </c>
      <c r="DG12" s="132"/>
      <c r="DH12" s="132"/>
      <c r="DI12" s="131"/>
      <c r="DJ12" s="132"/>
      <c r="DK12" s="132"/>
      <c r="DL12" s="132"/>
      <c r="DM12" s="132"/>
      <c r="DN12" s="131"/>
      <c r="DO12" s="132"/>
      <c r="DP12" s="132"/>
      <c r="DQ12" s="132"/>
      <c r="DR12" s="132"/>
      <c r="DS12" s="131"/>
    </row>
    <row r="13" s="3" customFormat="1" spans="1:123">
      <c r="A13" s="132"/>
      <c r="B13" s="508"/>
      <c r="C13" s="131"/>
      <c r="D13" s="132"/>
      <c r="E13" s="132"/>
      <c r="F13" s="132"/>
      <c r="G13" s="132"/>
      <c r="H13" s="131"/>
      <c r="I13" s="132"/>
      <c r="J13" s="132"/>
      <c r="K13" s="132"/>
      <c r="L13" s="132"/>
      <c r="M13" s="131"/>
      <c r="N13" s="132"/>
      <c r="O13" s="132"/>
      <c r="P13" s="132"/>
      <c r="Q13" s="132"/>
      <c r="R13" s="131"/>
      <c r="S13" s="132"/>
      <c r="T13" s="132"/>
      <c r="U13" s="132"/>
      <c r="V13" s="132"/>
      <c r="W13" s="131"/>
      <c r="X13" s="132"/>
      <c r="Y13" s="132"/>
      <c r="Z13" s="132"/>
      <c r="AA13" s="132"/>
      <c r="AB13" s="131"/>
      <c r="AC13" s="132"/>
      <c r="AD13" s="132"/>
      <c r="AE13" s="132"/>
      <c r="AF13" s="132"/>
      <c r="AG13" s="131"/>
      <c r="AH13" s="132"/>
      <c r="AI13" s="132"/>
      <c r="AJ13" s="132"/>
      <c r="AK13" s="132"/>
      <c r="AL13" s="131"/>
      <c r="AM13" s="132"/>
      <c r="AN13" s="132"/>
      <c r="AO13" s="132"/>
      <c r="AP13" s="132"/>
      <c r="AQ13" s="131"/>
      <c r="AR13" s="132"/>
      <c r="AS13" s="132"/>
      <c r="AT13" s="132"/>
      <c r="AU13" s="132"/>
      <c r="AV13" s="131"/>
      <c r="AW13" s="132"/>
      <c r="AX13" s="132"/>
      <c r="AY13" s="132"/>
      <c r="AZ13" s="132"/>
      <c r="BA13" s="131"/>
      <c r="BB13" s="132"/>
      <c r="BC13" s="132"/>
      <c r="BD13" s="132"/>
      <c r="BE13" s="132"/>
      <c r="BF13" s="131"/>
      <c r="BG13" s="132"/>
      <c r="BH13" s="132"/>
      <c r="BI13" s="132"/>
      <c r="BJ13" s="132"/>
      <c r="BK13" s="131"/>
      <c r="BL13" s="132"/>
      <c r="BM13" s="132"/>
      <c r="BN13" s="132"/>
      <c r="BO13" s="132"/>
      <c r="BP13" s="131"/>
      <c r="BQ13" s="132"/>
      <c r="BR13" s="132"/>
      <c r="BS13" s="132"/>
      <c r="BT13" s="132"/>
      <c r="BU13" s="131"/>
      <c r="BV13" s="132"/>
      <c r="BW13" s="132"/>
      <c r="BX13" s="132"/>
      <c r="BY13" s="132"/>
      <c r="BZ13" s="131"/>
      <c r="CA13" s="132"/>
      <c r="CB13" s="132"/>
      <c r="CC13" s="132"/>
      <c r="CD13" s="132"/>
      <c r="CE13" s="131"/>
      <c r="CF13" s="132"/>
      <c r="CG13" s="132"/>
      <c r="CH13" s="132"/>
      <c r="CI13" s="132"/>
      <c r="CJ13" s="131"/>
      <c r="CK13" s="132"/>
      <c r="CL13" s="132"/>
      <c r="CM13" s="132"/>
      <c r="CN13" s="132"/>
      <c r="CO13" s="131"/>
      <c r="CP13" s="132"/>
      <c r="CQ13" s="132"/>
      <c r="CR13" s="132"/>
      <c r="CS13" s="132"/>
      <c r="CT13" s="131"/>
      <c r="CU13" s="132"/>
      <c r="CV13" s="132"/>
      <c r="CW13" s="132"/>
      <c r="CX13" s="132"/>
      <c r="CY13" s="131"/>
      <c r="CZ13" s="132"/>
      <c r="DA13" s="132"/>
      <c r="DB13" s="132"/>
      <c r="DC13" s="132"/>
      <c r="DD13" s="131"/>
      <c r="DE13" s="132"/>
      <c r="DF13" s="132"/>
      <c r="DG13" s="132"/>
      <c r="DH13" s="132"/>
      <c r="DI13" s="131"/>
      <c r="DJ13" s="132"/>
      <c r="DK13" s="132"/>
      <c r="DL13" s="132"/>
      <c r="DM13" s="132"/>
      <c r="DN13" s="131"/>
      <c r="DO13" s="132"/>
      <c r="DP13" s="132"/>
      <c r="DQ13" s="132"/>
      <c r="DR13" s="132"/>
      <c r="DS13" s="131"/>
    </row>
    <row r="14" s="88" customFormat="1" spans="1:123">
      <c r="A14" s="125"/>
      <c r="B14" s="198" t="s">
        <v>57</v>
      </c>
      <c r="C14" s="124"/>
      <c r="D14" s="125"/>
      <c r="E14" s="125"/>
      <c r="F14" s="125"/>
      <c r="G14" s="125"/>
      <c r="H14" s="124"/>
      <c r="I14" s="125"/>
      <c r="J14" s="125"/>
      <c r="K14" s="125"/>
      <c r="L14" s="125"/>
      <c r="M14" s="124"/>
      <c r="N14" s="125"/>
      <c r="O14" s="125"/>
      <c r="P14" s="125"/>
      <c r="Q14" s="125"/>
      <c r="R14" s="124"/>
      <c r="S14" s="125"/>
      <c r="T14" s="125"/>
      <c r="U14" s="125"/>
      <c r="V14" s="125"/>
      <c r="W14" s="124"/>
      <c r="X14" s="125"/>
      <c r="Y14" s="125"/>
      <c r="Z14" s="125"/>
      <c r="AA14" s="125"/>
      <c r="AB14" s="124"/>
      <c r="AC14" s="125"/>
      <c r="AD14" s="125"/>
      <c r="AE14" s="125"/>
      <c r="AF14" s="125"/>
      <c r="AG14" s="124"/>
      <c r="AH14" s="125"/>
      <c r="AI14" s="125"/>
      <c r="AJ14" s="125"/>
      <c r="AK14" s="125"/>
      <c r="AL14" s="124"/>
      <c r="AM14" s="125"/>
      <c r="AN14" s="125"/>
      <c r="AO14" s="125"/>
      <c r="AP14" s="125"/>
      <c r="AQ14" s="124"/>
      <c r="AR14" s="125"/>
      <c r="AS14" s="125"/>
      <c r="AT14" s="125"/>
      <c r="AU14" s="125"/>
      <c r="AV14" s="124"/>
      <c r="AW14" s="125"/>
      <c r="AX14" s="125"/>
      <c r="AY14" s="125"/>
      <c r="AZ14" s="125"/>
      <c r="BA14" s="124"/>
      <c r="BB14" s="125"/>
      <c r="BC14" s="125"/>
      <c r="BD14" s="125"/>
      <c r="BE14" s="125"/>
      <c r="BF14" s="124"/>
      <c r="BG14" s="125"/>
      <c r="BH14" s="125"/>
      <c r="BI14" s="125"/>
      <c r="BJ14" s="125"/>
      <c r="BK14" s="124"/>
      <c r="BL14" s="125"/>
      <c r="BM14" s="125"/>
      <c r="BN14" s="125"/>
      <c r="BO14" s="125"/>
      <c r="BP14" s="124"/>
      <c r="BQ14" s="125"/>
      <c r="BR14" s="125"/>
      <c r="BS14" s="125"/>
      <c r="BT14" s="125"/>
      <c r="BU14" s="124"/>
      <c r="BV14" s="125"/>
      <c r="BW14" s="125"/>
      <c r="BX14" s="125"/>
      <c r="BY14" s="125"/>
      <c r="BZ14" s="124"/>
      <c r="CA14" s="125"/>
      <c r="CB14" s="125"/>
      <c r="CC14" s="125"/>
      <c r="CD14" s="125"/>
      <c r="CE14" s="124"/>
      <c r="CF14" s="125"/>
      <c r="CG14" s="125"/>
      <c r="CH14" s="125"/>
      <c r="CI14" s="125"/>
      <c r="CJ14" s="124"/>
      <c r="CK14" s="125"/>
      <c r="CL14" s="125"/>
      <c r="CM14" s="125"/>
      <c r="CN14" s="125"/>
      <c r="CO14" s="124">
        <f>'3. Earnings Build'!CO10</f>
        <v>6817.454</v>
      </c>
      <c r="CP14" s="125">
        <f>'3. Earnings Build'!CP10</f>
        <v>1567.738</v>
      </c>
      <c r="CQ14" s="125">
        <f>'3. Earnings Build'!CQ10</f>
        <v>1719.773</v>
      </c>
      <c r="CR14" s="125">
        <f>'3. Earnings Build'!CR10</f>
        <v>1732.398</v>
      </c>
      <c r="CS14" s="125">
        <f>'3. Earnings Build'!CS10</f>
        <v>2611.738</v>
      </c>
      <c r="CT14" s="124">
        <f>'3. Earnings Build'!CT10</f>
        <v>7631.647</v>
      </c>
      <c r="CU14" s="125">
        <f>'3. Earnings Build'!CU10</f>
        <v>1622.264</v>
      </c>
      <c r="CV14" s="125">
        <f>'3. Earnings Build'!CV10</f>
        <v>1741.433</v>
      </c>
      <c r="CW14" s="125">
        <f>'3. Earnings Build'!CW10</f>
        <v>1770.382</v>
      </c>
      <c r="CX14" s="125">
        <f>'3. Earnings Build'!CX10</f>
        <v>2794.077</v>
      </c>
      <c r="CY14" s="124">
        <f>'3. Earnings Build'!CY10</f>
        <v>7928.156</v>
      </c>
      <c r="CZ14" s="125">
        <f>'3. Earnings Build'!CZ10</f>
        <v>1674.558</v>
      </c>
      <c r="DA14" s="125">
        <f>'3. Earnings Build'!DA10</f>
        <v>1758.217</v>
      </c>
      <c r="DB14" s="125">
        <f>'3. Earnings Build'!DB10</f>
        <v>1733.382</v>
      </c>
      <c r="DC14" s="125">
        <f>'3. Earnings Build'!DC10</f>
        <v>2680.887</v>
      </c>
      <c r="DD14" s="124">
        <f>'3. Earnings Build'!DD10</f>
        <v>7847.044</v>
      </c>
      <c r="DE14" s="125">
        <f>'3. Earnings Build'!DE10</f>
        <v>1621.21</v>
      </c>
      <c r="DF14" s="125">
        <f>'3. Earnings Build'!DF10</f>
        <v>1616.772</v>
      </c>
      <c r="DG14" s="125">
        <f>'3. Earnings Build'!DG10</f>
        <v>1457.74651308858</v>
      </c>
      <c r="DH14" s="125">
        <f>'3. Earnings Build'!DH10</f>
        <v>2287.00683108209</v>
      </c>
      <c r="DI14" s="124">
        <f>'3. Earnings Build'!DI10</f>
        <v>6982.73534417067</v>
      </c>
      <c r="DJ14" s="125">
        <f>'3. Earnings Build'!DJ10</f>
        <v>1479.64154918466</v>
      </c>
      <c r="DK14" s="125">
        <f>'3. Earnings Build'!DK10</f>
        <v>1493.17880856044</v>
      </c>
      <c r="DL14" s="125">
        <f>'3. Earnings Build'!DL10</f>
        <v>1386.82066969996</v>
      </c>
      <c r="DM14" s="125">
        <f>'3. Earnings Build'!DM10</f>
        <v>2175.6889522417</v>
      </c>
      <c r="DN14" s="124">
        <f>'3. Earnings Build'!DN10</f>
        <v>6535.32997968676</v>
      </c>
      <c r="DO14" s="125">
        <f>'3. Earnings Build'!DO10</f>
        <v>1429.22413343467</v>
      </c>
      <c r="DP14" s="125">
        <f>'3. Earnings Build'!DP10</f>
        <v>1442.27289717936</v>
      </c>
      <c r="DQ14" s="125">
        <f>'3. Earnings Build'!DQ10</f>
        <v>1339.49064317442</v>
      </c>
      <c r="DR14" s="125">
        <f>'3. Earnings Build'!DR10</f>
        <v>2101.39713436028</v>
      </c>
      <c r="DS14" s="124">
        <f>'3. Earnings Build'!DS10</f>
        <v>6312.38480814872</v>
      </c>
    </row>
    <row r="15" s="89" customFormat="1" spans="1:123">
      <c r="A15" s="132"/>
      <c r="B15" s="198" t="s">
        <v>58</v>
      </c>
      <c r="C15" s="509"/>
      <c r="D15" s="348"/>
      <c r="E15" s="348"/>
      <c r="F15" s="348"/>
      <c r="G15" s="348"/>
      <c r="H15" s="509"/>
      <c r="I15" s="348"/>
      <c r="J15" s="348"/>
      <c r="K15" s="348"/>
      <c r="L15" s="348"/>
      <c r="M15" s="509"/>
      <c r="N15" s="348"/>
      <c r="O15" s="348"/>
      <c r="P15" s="348"/>
      <c r="Q15" s="348"/>
      <c r="R15" s="509"/>
      <c r="S15" s="348"/>
      <c r="T15" s="348"/>
      <c r="U15" s="348"/>
      <c r="V15" s="348"/>
      <c r="W15" s="509"/>
      <c r="X15" s="348"/>
      <c r="Y15" s="348"/>
      <c r="Z15" s="348"/>
      <c r="AA15" s="348"/>
      <c r="AB15" s="509"/>
      <c r="AC15" s="348"/>
      <c r="AD15" s="348"/>
      <c r="AE15" s="348"/>
      <c r="AF15" s="348"/>
      <c r="AG15" s="509"/>
      <c r="AH15" s="348"/>
      <c r="AI15" s="348"/>
      <c r="AJ15" s="348"/>
      <c r="AK15" s="348"/>
      <c r="AL15" s="509"/>
      <c r="AM15" s="348"/>
      <c r="AN15" s="348"/>
      <c r="AO15" s="348"/>
      <c r="AP15" s="348"/>
      <c r="AQ15" s="509"/>
      <c r="AR15" s="348"/>
      <c r="AS15" s="348"/>
      <c r="AT15" s="348"/>
      <c r="AU15" s="348"/>
      <c r="AV15" s="509"/>
      <c r="AW15" s="348"/>
      <c r="AX15" s="348"/>
      <c r="AY15" s="348"/>
      <c r="AZ15" s="348"/>
      <c r="BA15" s="509"/>
      <c r="BB15" s="348"/>
      <c r="BC15" s="348"/>
      <c r="BD15" s="348"/>
      <c r="BE15" s="348"/>
      <c r="BF15" s="509"/>
      <c r="BG15" s="348"/>
      <c r="BH15" s="348"/>
      <c r="BI15" s="348"/>
      <c r="BJ15" s="348"/>
      <c r="BK15" s="509"/>
      <c r="BL15" s="348"/>
      <c r="BM15" s="348"/>
      <c r="BN15" s="348"/>
      <c r="BO15" s="348"/>
      <c r="BP15" s="509"/>
      <c r="BQ15" s="348"/>
      <c r="BR15" s="348"/>
      <c r="BS15" s="348"/>
      <c r="BT15" s="348"/>
      <c r="BU15" s="509"/>
      <c r="BV15" s="348"/>
      <c r="BW15" s="348"/>
      <c r="BX15" s="348"/>
      <c r="BY15" s="348"/>
      <c r="BZ15" s="509"/>
      <c r="CA15" s="348"/>
      <c r="CB15" s="348"/>
      <c r="CC15" s="348"/>
      <c r="CD15" s="348"/>
      <c r="CE15" s="509"/>
      <c r="CF15" s="348"/>
      <c r="CG15" s="348"/>
      <c r="CH15" s="348"/>
      <c r="CI15" s="348"/>
      <c r="CJ15" s="509"/>
      <c r="CK15" s="348"/>
      <c r="CL15" s="348"/>
      <c r="CM15" s="348"/>
      <c r="CN15" s="348"/>
      <c r="CO15" s="509">
        <f>'3. Earnings Build'!CO11</f>
        <v>576.503</v>
      </c>
      <c r="CP15" s="348">
        <f>'3. Earnings Build'!CP11</f>
        <v>210.068</v>
      </c>
      <c r="CQ15" s="348">
        <f>'3. Earnings Build'!CQ11</f>
        <v>234.445</v>
      </c>
      <c r="CR15" s="348">
        <f>'3. Earnings Build'!CR11</f>
        <v>228.595</v>
      </c>
      <c r="CS15" s="348">
        <f>'3. Earnings Build'!CS11</f>
        <v>290.652</v>
      </c>
      <c r="CT15" s="509">
        <f>'3. Earnings Build'!CT11</f>
        <v>963.76</v>
      </c>
      <c r="CU15" s="348">
        <f>'3. Earnings Build'!CU11</f>
        <v>303.786</v>
      </c>
      <c r="CV15" s="348">
        <f>'3. Earnings Build'!CV11</f>
        <v>314.189</v>
      </c>
      <c r="CW15" s="348">
        <f>'3. Earnings Build'!CW11</f>
        <v>318.338</v>
      </c>
      <c r="CX15" s="348">
        <f>'3. Earnings Build'!CX11</f>
        <v>425.024</v>
      </c>
      <c r="CY15" s="509">
        <f>'3. Earnings Build'!CY11</f>
        <v>1361.337</v>
      </c>
      <c r="CZ15" s="348">
        <f>'3. Earnings Build'!CZ11</f>
        <v>368.101</v>
      </c>
      <c r="DA15" s="348">
        <f>'3. Earnings Build'!DA11</f>
        <v>392.898</v>
      </c>
      <c r="DB15" s="348">
        <f>'3. Earnings Build'!DB11</f>
        <v>465.362</v>
      </c>
      <c r="DC15" s="348">
        <f>'3. Earnings Build'!DC11</f>
        <v>528.438</v>
      </c>
      <c r="DD15" s="509">
        <f>'3. Earnings Build'!DD11</f>
        <v>1754.799</v>
      </c>
      <c r="DE15" s="348">
        <f>'3. Earnings Build'!DE11</f>
        <v>478.395</v>
      </c>
      <c r="DF15" s="348">
        <f>'3. Earnings Build'!DF11</f>
        <v>407.095</v>
      </c>
      <c r="DG15" s="348">
        <f>'3. Earnings Build'!DG11</f>
        <v>478.957182418417</v>
      </c>
      <c r="DH15" s="348">
        <f>'3. Earnings Build'!DH11</f>
        <v>537.218951537724</v>
      </c>
      <c r="DI15" s="509">
        <f>'3. Earnings Build'!DI11</f>
        <v>1901.66613395614</v>
      </c>
      <c r="DJ15" s="348">
        <f>'3. Earnings Build'!DJ11</f>
        <v>498.594861412174</v>
      </c>
      <c r="DK15" s="348">
        <f>'3. Earnings Build'!DK11</f>
        <v>428.331521289553</v>
      </c>
      <c r="DL15" s="348">
        <f>'3. Earnings Build'!DL11</f>
        <v>513.995261368857</v>
      </c>
      <c r="DM15" s="348">
        <f>'3. Earnings Build'!DM11</f>
        <v>573.140024135138</v>
      </c>
      <c r="DN15" s="509">
        <f>'3. Earnings Build'!DN11</f>
        <v>2014.06166820572</v>
      </c>
      <c r="DO15" s="348">
        <f>'3. Earnings Build'!DO11</f>
        <v>541.797645709735</v>
      </c>
      <c r="DP15" s="348">
        <f>'3. Earnings Build'!DP11</f>
        <v>465.185879267175</v>
      </c>
      <c r="DQ15" s="348">
        <f>'3. Earnings Build'!DQ11</f>
        <v>557.737307081268</v>
      </c>
      <c r="DR15" s="348">
        <f>'3. Earnings Build'!DR11</f>
        <v>621.147594473587</v>
      </c>
      <c r="DS15" s="509">
        <f>'3. Earnings Build'!DS11</f>
        <v>2185.86842653177</v>
      </c>
    </row>
    <row r="16" s="89" customFormat="1" spans="1:123">
      <c r="A16" s="132"/>
      <c r="B16" s="198" t="s">
        <v>59</v>
      </c>
      <c r="C16" s="509"/>
      <c r="D16" s="348"/>
      <c r="E16" s="348"/>
      <c r="F16" s="348"/>
      <c r="G16" s="348"/>
      <c r="H16" s="509"/>
      <c r="I16" s="348"/>
      <c r="J16" s="348"/>
      <c r="K16" s="348"/>
      <c r="L16" s="348"/>
      <c r="M16" s="509"/>
      <c r="N16" s="348"/>
      <c r="O16" s="348"/>
      <c r="P16" s="348"/>
      <c r="Q16" s="348"/>
      <c r="R16" s="509"/>
      <c r="S16" s="348"/>
      <c r="T16" s="348"/>
      <c r="U16" s="348"/>
      <c r="V16" s="348"/>
      <c r="W16" s="509"/>
      <c r="X16" s="348"/>
      <c r="Y16" s="348"/>
      <c r="Z16" s="348"/>
      <c r="AA16" s="348"/>
      <c r="AB16" s="509"/>
      <c r="AC16" s="348"/>
      <c r="AD16" s="348"/>
      <c r="AE16" s="348"/>
      <c r="AF16" s="348"/>
      <c r="AG16" s="509"/>
      <c r="AH16" s="348"/>
      <c r="AI16" s="348"/>
      <c r="AJ16" s="348"/>
      <c r="AK16" s="348"/>
      <c r="AL16" s="509"/>
      <c r="AM16" s="348"/>
      <c r="AN16" s="348"/>
      <c r="AO16" s="348"/>
      <c r="AP16" s="348"/>
      <c r="AQ16" s="509"/>
      <c r="AR16" s="348"/>
      <c r="AS16" s="348"/>
      <c r="AT16" s="348"/>
      <c r="AU16" s="348"/>
      <c r="AV16" s="509"/>
      <c r="AW16" s="348"/>
      <c r="AX16" s="348"/>
      <c r="AY16" s="348"/>
      <c r="AZ16" s="348"/>
      <c r="BA16" s="509"/>
      <c r="BB16" s="348"/>
      <c r="BC16" s="348"/>
      <c r="BD16" s="348"/>
      <c r="BE16" s="348"/>
      <c r="BF16" s="509"/>
      <c r="BG16" s="348"/>
      <c r="BH16" s="348"/>
      <c r="BI16" s="348"/>
      <c r="BJ16" s="348"/>
      <c r="BK16" s="509"/>
      <c r="BL16" s="348"/>
      <c r="BM16" s="348"/>
      <c r="BN16" s="348"/>
      <c r="BO16" s="348"/>
      <c r="BP16" s="509"/>
      <c r="BQ16" s="348"/>
      <c r="BR16" s="348"/>
      <c r="BS16" s="348"/>
      <c r="BT16" s="348"/>
      <c r="BU16" s="509"/>
      <c r="BV16" s="348"/>
      <c r="BW16" s="348"/>
      <c r="BX16" s="348"/>
      <c r="BY16" s="348"/>
      <c r="BZ16" s="509"/>
      <c r="CA16" s="348"/>
      <c r="CB16" s="348"/>
      <c r="CC16" s="348"/>
      <c r="CD16" s="348"/>
      <c r="CE16" s="509"/>
      <c r="CF16" s="348"/>
      <c r="CG16" s="348"/>
      <c r="CH16" s="348"/>
      <c r="CI16" s="348"/>
      <c r="CJ16" s="509"/>
      <c r="CK16" s="348"/>
      <c r="CL16" s="348"/>
      <c r="CM16" s="348"/>
      <c r="CN16" s="348"/>
      <c r="CO16" s="509">
        <f>'3. Earnings Build'!CO12</f>
        <v>716.561</v>
      </c>
      <c r="CP16" s="348">
        <f>'3. Earnings Build'!CP12</f>
        <v>222.986</v>
      </c>
      <c r="CQ16" s="348">
        <f>'3. Earnings Build'!CQ12</f>
        <v>254.947</v>
      </c>
      <c r="CR16" s="348">
        <f>'3. Earnings Build'!CR12</f>
        <v>243.225</v>
      </c>
      <c r="CS16" s="348">
        <f>'3. Earnings Build'!CS12</f>
        <v>302.713</v>
      </c>
      <c r="CT16" s="509">
        <f>'3. Earnings Build'!CT12</f>
        <v>1023.871</v>
      </c>
      <c r="CU16" s="348">
        <f>'3. Earnings Build'!CU12</f>
        <v>282.841</v>
      </c>
      <c r="CV16" s="348">
        <f>'3. Earnings Build'!CV12</f>
        <v>315.456</v>
      </c>
      <c r="CW16" s="348">
        <f>'3. Earnings Build'!CW12</f>
        <v>307.94</v>
      </c>
      <c r="CX16" s="348">
        <f>'3. Earnings Build'!CX12</f>
        <v>392.396</v>
      </c>
      <c r="CY16" s="509">
        <f>'3. Earnings Build'!CY12</f>
        <v>1298.633</v>
      </c>
      <c r="CZ16" s="348">
        <f>'3. Earnings Build'!CZ12</f>
        <v>328.001</v>
      </c>
      <c r="DA16" s="348">
        <f>'3. Earnings Build'!DA12</f>
        <v>374.104</v>
      </c>
      <c r="DB16" s="348">
        <f>'3. Earnings Build'!DB12</f>
        <v>367.176</v>
      </c>
      <c r="DC16" s="348">
        <f>'3. Earnings Build'!DC12</f>
        <v>431.476</v>
      </c>
      <c r="DD16" s="509">
        <f>'3. Earnings Build'!DD12</f>
        <v>1500.757</v>
      </c>
      <c r="DE16" s="348">
        <f>'3. Earnings Build'!DE12</f>
        <v>371.998</v>
      </c>
      <c r="DF16" s="348">
        <f>'3. Earnings Build'!DF12</f>
        <v>391.764</v>
      </c>
      <c r="DG16" s="348">
        <f>'3. Earnings Build'!DG12</f>
        <v>378.887648275862</v>
      </c>
      <c r="DH16" s="348">
        <f>'3. Earnings Build'!DH12</f>
        <v>439.551526123457</v>
      </c>
      <c r="DI16" s="509">
        <f>'3. Earnings Build'!DI12</f>
        <v>1582.20117439932</v>
      </c>
      <c r="DJ16" s="348">
        <f>'3. Earnings Build'!DJ12</f>
        <v>382.81976</v>
      </c>
      <c r="DK16" s="348">
        <f>'3. Earnings Build'!DK12</f>
        <v>408.187682435821</v>
      </c>
      <c r="DL16" s="348">
        <f>'3. Earnings Build'!DL12</f>
        <v>404.332708382032</v>
      </c>
      <c r="DM16" s="348">
        <f>'3. Earnings Build'!DM12</f>
        <v>472.192105333942</v>
      </c>
      <c r="DN16" s="509">
        <f>'3. Earnings Build'!DN12</f>
        <v>1667.5322561518</v>
      </c>
      <c r="DO16" s="348">
        <f>'3. Earnings Build'!DO12</f>
        <v>420.97636812538</v>
      </c>
      <c r="DP16" s="348">
        <f>'3. Earnings Build'!DP12</f>
        <v>448.778624996183</v>
      </c>
      <c r="DQ16" s="348">
        <f>'3. Earnings Build'!DQ12</f>
        <v>444.356999009458</v>
      </c>
      <c r="DR16" s="348">
        <f>'3. Earnings Build'!DR12</f>
        <v>518.621661273106</v>
      </c>
      <c r="DS16" s="509">
        <f>'3. Earnings Build'!DS12</f>
        <v>1832.73365340413</v>
      </c>
    </row>
    <row r="17" s="89" customFormat="1" spans="1:123">
      <c r="A17" s="132"/>
      <c r="B17" s="227" t="s">
        <v>56</v>
      </c>
      <c r="C17" s="510"/>
      <c r="D17" s="511"/>
      <c r="E17" s="511"/>
      <c r="F17" s="511"/>
      <c r="G17" s="511"/>
      <c r="H17" s="510"/>
      <c r="I17" s="511"/>
      <c r="J17" s="511"/>
      <c r="K17" s="511"/>
      <c r="L17" s="511"/>
      <c r="M17" s="510"/>
      <c r="N17" s="511"/>
      <c r="O17" s="511"/>
      <c r="P17" s="511"/>
      <c r="Q17" s="511"/>
      <c r="R17" s="510"/>
      <c r="S17" s="511"/>
      <c r="T17" s="511"/>
      <c r="U17" s="511"/>
      <c r="V17" s="511"/>
      <c r="W17" s="510"/>
      <c r="X17" s="511"/>
      <c r="Y17" s="511"/>
      <c r="Z17" s="511"/>
      <c r="AA17" s="511"/>
      <c r="AB17" s="510"/>
      <c r="AC17" s="511"/>
      <c r="AD17" s="511"/>
      <c r="AE17" s="511"/>
      <c r="AF17" s="511"/>
      <c r="AG17" s="510"/>
      <c r="AH17" s="511"/>
      <c r="AI17" s="511"/>
      <c r="AJ17" s="511"/>
      <c r="AK17" s="511"/>
      <c r="AL17" s="510"/>
      <c r="AM17" s="511"/>
      <c r="AN17" s="511"/>
      <c r="AO17" s="511"/>
      <c r="AP17" s="511"/>
      <c r="AQ17" s="510"/>
      <c r="AR17" s="511"/>
      <c r="AS17" s="511"/>
      <c r="AT17" s="511"/>
      <c r="AU17" s="511"/>
      <c r="AV17" s="510"/>
      <c r="AW17" s="511"/>
      <c r="AX17" s="511"/>
      <c r="AY17" s="511"/>
      <c r="AZ17" s="511"/>
      <c r="BA17" s="510"/>
      <c r="BB17" s="511"/>
      <c r="BC17" s="511"/>
      <c r="BD17" s="511"/>
      <c r="BE17" s="511"/>
      <c r="BF17" s="510"/>
      <c r="BG17" s="511"/>
      <c r="BH17" s="511"/>
      <c r="BI17" s="511"/>
      <c r="BJ17" s="511"/>
      <c r="BK17" s="510"/>
      <c r="BL17" s="511"/>
      <c r="BM17" s="511"/>
      <c r="BN17" s="511"/>
      <c r="BO17" s="511"/>
      <c r="BP17" s="510"/>
      <c r="BQ17" s="511"/>
      <c r="BR17" s="511"/>
      <c r="BS17" s="511"/>
      <c r="BT17" s="511"/>
      <c r="BU17" s="510"/>
      <c r="BV17" s="511"/>
      <c r="BW17" s="511"/>
      <c r="BX17" s="511"/>
      <c r="BY17" s="511"/>
      <c r="BZ17" s="510"/>
      <c r="CA17" s="511"/>
      <c r="CB17" s="511"/>
      <c r="CC17" s="511"/>
      <c r="CD17" s="511"/>
      <c r="CE17" s="510"/>
      <c r="CF17" s="511"/>
      <c r="CG17" s="511"/>
      <c r="CH17" s="511"/>
      <c r="CI17" s="511"/>
      <c r="CJ17" s="510"/>
      <c r="CK17" s="511"/>
      <c r="CL17" s="511"/>
      <c r="CM17" s="511"/>
      <c r="CN17" s="511"/>
      <c r="CO17" s="510">
        <f>CO14+CO15+CO16</f>
        <v>8110.518</v>
      </c>
      <c r="CP17" s="511">
        <f t="shared" ref="CP17:DN17" si="16">CP14+CP15+CP16</f>
        <v>2000.792</v>
      </c>
      <c r="CQ17" s="511">
        <f t="shared" si="16"/>
        <v>2209.165</v>
      </c>
      <c r="CR17" s="511">
        <f t="shared" si="16"/>
        <v>2204.218</v>
      </c>
      <c r="CS17" s="511">
        <f t="shared" si="16"/>
        <v>3205.103</v>
      </c>
      <c r="CT17" s="510">
        <f t="shared" si="16"/>
        <v>9619.278</v>
      </c>
      <c r="CU17" s="511">
        <f t="shared" si="16"/>
        <v>2208.891</v>
      </c>
      <c r="CV17" s="511">
        <f t="shared" si="16"/>
        <v>2371.078</v>
      </c>
      <c r="CW17" s="511">
        <f t="shared" si="16"/>
        <v>2396.66</v>
      </c>
      <c r="CX17" s="511">
        <f t="shared" si="16"/>
        <v>3611.497</v>
      </c>
      <c r="CY17" s="510">
        <f t="shared" si="16"/>
        <v>10588.126</v>
      </c>
      <c r="CZ17" s="511">
        <f t="shared" si="16"/>
        <v>2370.66</v>
      </c>
      <c r="DA17" s="511">
        <f t="shared" si="16"/>
        <v>2525.219</v>
      </c>
      <c r="DB17" s="511">
        <f t="shared" si="16"/>
        <v>2565.92</v>
      </c>
      <c r="DC17" s="511">
        <f t="shared" si="16"/>
        <v>3640.801</v>
      </c>
      <c r="DD17" s="510">
        <f t="shared" si="16"/>
        <v>11102.6</v>
      </c>
      <c r="DE17" s="511">
        <f t="shared" si="16"/>
        <v>2471.603</v>
      </c>
      <c r="DF17" s="511">
        <f t="shared" si="16"/>
        <v>2415.631</v>
      </c>
      <c r="DG17" s="511">
        <f t="shared" si="16"/>
        <v>2315.59134378286</v>
      </c>
      <c r="DH17" s="511">
        <f t="shared" si="16"/>
        <v>3263.77730874327</v>
      </c>
      <c r="DI17" s="510">
        <f t="shared" si="16"/>
        <v>10466.6026525261</v>
      </c>
      <c r="DJ17" s="511">
        <f t="shared" si="16"/>
        <v>2361.05617059684</v>
      </c>
      <c r="DK17" s="511">
        <f t="shared" si="16"/>
        <v>2329.69801228581</v>
      </c>
      <c r="DL17" s="511">
        <f t="shared" si="16"/>
        <v>2305.14863945084</v>
      </c>
      <c r="DM17" s="511">
        <f t="shared" si="16"/>
        <v>3221.02108171078</v>
      </c>
      <c r="DN17" s="510">
        <f t="shared" si="16"/>
        <v>10216.9239040443</v>
      </c>
      <c r="DO17" s="511">
        <f t="shared" ref="DO17:DS17" si="17">DO14+DO15+DO16</f>
        <v>2391.99814726978</v>
      </c>
      <c r="DP17" s="511">
        <f t="shared" si="17"/>
        <v>2356.23740144272</v>
      </c>
      <c r="DQ17" s="511">
        <f t="shared" si="17"/>
        <v>2341.58494926514</v>
      </c>
      <c r="DR17" s="511">
        <f t="shared" si="17"/>
        <v>3241.16639010697</v>
      </c>
      <c r="DS17" s="510">
        <f t="shared" si="17"/>
        <v>10330.9868880846</v>
      </c>
    </row>
    <row r="18" s="3" customFormat="1" spans="1:123">
      <c r="A18" s="132"/>
      <c r="B18" s="508"/>
      <c r="C18" s="131"/>
      <c r="D18" s="132"/>
      <c r="E18" s="132"/>
      <c r="F18" s="132"/>
      <c r="G18" s="132"/>
      <c r="H18" s="131"/>
      <c r="I18" s="132"/>
      <c r="J18" s="132"/>
      <c r="K18" s="132"/>
      <c r="L18" s="132"/>
      <c r="M18" s="131"/>
      <c r="N18" s="132"/>
      <c r="O18" s="132"/>
      <c r="P18" s="132"/>
      <c r="Q18" s="132"/>
      <c r="R18" s="131"/>
      <c r="S18" s="132"/>
      <c r="T18" s="132"/>
      <c r="U18" s="132"/>
      <c r="V18" s="132"/>
      <c r="W18" s="131"/>
      <c r="X18" s="132"/>
      <c r="Y18" s="132"/>
      <c r="Z18" s="132"/>
      <c r="AA18" s="132"/>
      <c r="AB18" s="131"/>
      <c r="AC18" s="132"/>
      <c r="AD18" s="132"/>
      <c r="AE18" s="132"/>
      <c r="AF18" s="132"/>
      <c r="AG18" s="131"/>
      <c r="AH18" s="132"/>
      <c r="AI18" s="132"/>
      <c r="AJ18" s="132"/>
      <c r="AK18" s="132"/>
      <c r="AL18" s="131"/>
      <c r="AM18" s="132"/>
      <c r="AN18" s="132"/>
      <c r="AO18" s="132"/>
      <c r="AP18" s="132"/>
      <c r="AQ18" s="131"/>
      <c r="AR18" s="132"/>
      <c r="AS18" s="132"/>
      <c r="AT18" s="132"/>
      <c r="AU18" s="132"/>
      <c r="AV18" s="131"/>
      <c r="AW18" s="132"/>
      <c r="AX18" s="132"/>
      <c r="AY18" s="132"/>
      <c r="AZ18" s="132"/>
      <c r="BA18" s="131"/>
      <c r="BB18" s="132"/>
      <c r="BC18" s="132"/>
      <c r="BD18" s="132"/>
      <c r="BE18" s="132"/>
      <c r="BF18" s="131"/>
      <c r="BG18" s="132"/>
      <c r="BH18" s="132"/>
      <c r="BI18" s="132"/>
      <c r="BJ18" s="132"/>
      <c r="BK18" s="131"/>
      <c r="BL18" s="132"/>
      <c r="BM18" s="132"/>
      <c r="BN18" s="132"/>
      <c r="BO18" s="132"/>
      <c r="BP18" s="131"/>
      <c r="BQ18" s="132"/>
      <c r="BR18" s="132"/>
      <c r="BS18" s="132"/>
      <c r="BT18" s="132"/>
      <c r="BU18" s="131"/>
      <c r="BV18" s="132"/>
      <c r="BW18" s="132"/>
      <c r="BX18" s="132"/>
      <c r="BY18" s="132"/>
      <c r="BZ18" s="131"/>
      <c r="CA18" s="132"/>
      <c r="CB18" s="132"/>
      <c r="CC18" s="132"/>
      <c r="CD18" s="132"/>
      <c r="CE18" s="131"/>
      <c r="CF18" s="132"/>
      <c r="CG18" s="132"/>
      <c r="CH18" s="132"/>
      <c r="CI18" s="132"/>
      <c r="CJ18" s="131"/>
      <c r="CK18" s="132"/>
      <c r="CL18" s="132"/>
      <c r="CM18" s="132"/>
      <c r="CN18" s="132"/>
      <c r="CO18" s="131"/>
      <c r="CP18" s="132"/>
      <c r="CQ18" s="132"/>
      <c r="CR18" s="132"/>
      <c r="CS18" s="132"/>
      <c r="CT18" s="131"/>
      <c r="CU18" s="132"/>
      <c r="CV18" s="132"/>
      <c r="CW18" s="132"/>
      <c r="CX18" s="132"/>
      <c r="CY18" s="131"/>
      <c r="CZ18" s="132"/>
      <c r="DA18" s="132"/>
      <c r="DB18" s="132"/>
      <c r="DC18" s="132"/>
      <c r="DD18" s="131"/>
      <c r="DE18" s="132"/>
      <c r="DF18" s="132"/>
      <c r="DG18" s="132"/>
      <c r="DH18" s="132"/>
      <c r="DI18" s="131"/>
      <c r="DJ18" s="132"/>
      <c r="DK18" s="132"/>
      <c r="DL18" s="132"/>
      <c r="DM18" s="132"/>
      <c r="DN18" s="131"/>
      <c r="DO18" s="132"/>
      <c r="DP18" s="132"/>
      <c r="DQ18" s="132"/>
      <c r="DR18" s="132"/>
      <c r="DS18" s="131"/>
    </row>
    <row r="19" spans="1:123">
      <c r="B19" s="184" t="s">
        <v>60</v>
      </c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7"/>
      <c r="DF19" s="117"/>
      <c r="DG19" s="117"/>
      <c r="DH19" s="117"/>
      <c r="DI19" s="117"/>
      <c r="DJ19" s="117"/>
      <c r="DK19" s="117"/>
      <c r="DL19" s="117"/>
      <c r="DM19" s="117"/>
      <c r="DN19" s="117"/>
      <c r="DO19" s="117"/>
      <c r="DP19" s="117"/>
      <c r="DQ19" s="117"/>
      <c r="DR19" s="117"/>
      <c r="DS19" s="507"/>
    </row>
    <row r="20" hidden="1" outlineLevel="1" spans="1:123">
      <c r="B20" s="512" t="s">
        <v>53</v>
      </c>
      <c r="C20" s="248"/>
      <c r="D20" s="249"/>
      <c r="E20" s="249"/>
      <c r="F20" s="249"/>
      <c r="G20" s="249"/>
      <c r="H20" s="248"/>
      <c r="I20" s="249"/>
      <c r="J20" s="249"/>
      <c r="K20" s="249"/>
      <c r="L20" s="249"/>
      <c r="M20" s="248"/>
      <c r="N20" s="249">
        <f>'3. Earnings Build'!N149</f>
        <v>11.891</v>
      </c>
      <c r="O20" s="249">
        <f>'3. Earnings Build'!O149</f>
        <v>16.943</v>
      </c>
      <c r="P20" s="249">
        <f>'3. Earnings Build'!P149</f>
        <v>19.278</v>
      </c>
      <c r="Q20" s="249">
        <f>'3. Earnings Build'!Q149</f>
        <v>31.688</v>
      </c>
      <c r="R20" s="248">
        <f>SUM(N20:Q20)</f>
        <v>79.8</v>
      </c>
      <c r="S20" s="249">
        <f>'3. Earnings Build'!S149</f>
        <v>23.217</v>
      </c>
      <c r="T20" s="249">
        <f>'3. Earnings Build'!T149</f>
        <v>23.758</v>
      </c>
      <c r="U20" s="249">
        <f>'3. Earnings Build'!U149</f>
        <v>21.401</v>
      </c>
      <c r="V20" s="249">
        <f>'3. Earnings Build'!V149</f>
        <v>26.524</v>
      </c>
      <c r="W20" s="248">
        <f>SUM(S20:V20)</f>
        <v>94.9</v>
      </c>
      <c r="X20" s="249">
        <f>'3. Earnings Build'!X149</f>
        <v>21.687</v>
      </c>
      <c r="Y20" s="249">
        <f>'3. Earnings Build'!Y149</f>
        <v>23.548</v>
      </c>
      <c r="Z20" s="249">
        <f>'3. Earnings Build'!Z149</f>
        <v>30.76</v>
      </c>
      <c r="AA20" s="249">
        <f>'3. Earnings Build'!AA149</f>
        <v>45.619</v>
      </c>
      <c r="AB20" s="248">
        <f>SUM(X20:AA20)</f>
        <v>121.614</v>
      </c>
      <c r="AC20" s="249">
        <f>'3. Earnings Build'!AC149</f>
        <v>45.955</v>
      </c>
      <c r="AD20" s="249">
        <f>'3. Earnings Build'!AD149</f>
        <v>44.353</v>
      </c>
      <c r="AE20" s="249">
        <f>'3. Earnings Build'!AE149</f>
        <v>50.787</v>
      </c>
      <c r="AF20" s="249">
        <f>'3. Earnings Build'!AF149</f>
        <v>74.059</v>
      </c>
      <c r="AG20" s="248">
        <f>SUM(AC20:AF20)</f>
        <v>215.154</v>
      </c>
      <c r="AH20" s="249">
        <f>'3. Earnings Build'!AH149</f>
        <v>59.137</v>
      </c>
      <c r="AI20" s="249">
        <f>'3. Earnings Build'!AI149</f>
        <v>64.073</v>
      </c>
      <c r="AJ20" s="249">
        <f>'3. Earnings Build'!AJ149</f>
        <v>66.331</v>
      </c>
      <c r="AK20" s="249">
        <f>'3. Earnings Build'!AK149</f>
        <v>109.433</v>
      </c>
      <c r="AL20" s="248">
        <f>SUM(AH20:AK20)</f>
        <v>298.974</v>
      </c>
      <c r="AM20" s="249">
        <f>'3. Earnings Build'!AM149</f>
        <v>77.252</v>
      </c>
      <c r="AN20" s="249">
        <f>'3. Earnings Build'!AN149</f>
        <v>77.04</v>
      </c>
      <c r="AO20" s="249">
        <f>'3. Earnings Build'!AO149</f>
        <v>84.699</v>
      </c>
      <c r="AP20" s="249">
        <f>'3. Earnings Build'!AP149</f>
        <v>140.679</v>
      </c>
      <c r="AQ20" s="248">
        <f>SUM(AM20:AP20)</f>
        <v>379.67</v>
      </c>
      <c r="AR20" s="249">
        <f>'3. Earnings Build'!AR149</f>
        <v>69.559</v>
      </c>
      <c r="AS20" s="249">
        <f>'3. Earnings Build'!AS149</f>
        <v>83.53</v>
      </c>
      <c r="AT20" s="249">
        <f>'3. Earnings Build'!AT149</f>
        <v>89.676</v>
      </c>
      <c r="AU20" s="249">
        <f>'3. Earnings Build'!AU149</f>
        <v>129.866</v>
      </c>
      <c r="AV20" s="248">
        <f>SUM(AR20:AU20)</f>
        <v>372.631</v>
      </c>
      <c r="AW20" s="249">
        <f>'3. Earnings Build'!AW149</f>
        <v>75.697</v>
      </c>
      <c r="AX20" s="249">
        <f>'3. Earnings Build'!AX149</f>
        <v>74.891</v>
      </c>
      <c r="AY20" s="249">
        <f>'3. Earnings Build'!AY149</f>
        <v>73.99</v>
      </c>
      <c r="AZ20" s="249">
        <f>'3. Earnings Build'!AZ149</f>
        <v>132.011</v>
      </c>
      <c r="BA20" s="248">
        <f>SUM(AW20:AZ20)</f>
        <v>356.589</v>
      </c>
      <c r="BB20" s="249">
        <f>'3. Earnings Build'!BB149</f>
        <v>69.223</v>
      </c>
      <c r="BC20" s="249">
        <f>'3. Earnings Build'!BC149</f>
        <v>67.441</v>
      </c>
      <c r="BD20" s="249">
        <f>'3. Earnings Build'!BD149</f>
        <v>70.729</v>
      </c>
      <c r="BE20" s="249">
        <f>'3. Earnings Build'!BE149</f>
        <v>139.409</v>
      </c>
      <c r="BF20" s="248">
        <f>SUM(BB20:BE20)</f>
        <v>346.802</v>
      </c>
      <c r="BG20" s="249">
        <f>'3. Earnings Build'!BG149</f>
        <v>73.259</v>
      </c>
      <c r="BH20" s="249">
        <f>'3. Earnings Build'!BH149</f>
        <v>80.277</v>
      </c>
      <c r="BI20" s="249">
        <f>'3. Earnings Build'!BI149</f>
        <v>91.497</v>
      </c>
      <c r="BJ20" s="249">
        <f>'3. Earnings Build'!BJ149</f>
        <v>170.602</v>
      </c>
      <c r="BK20" s="248">
        <f>SUM(BG20:BJ20)</f>
        <v>415.635</v>
      </c>
      <c r="BL20" s="249">
        <f>'3. Earnings Build'!BL149</f>
        <v>77.499</v>
      </c>
      <c r="BM20" s="249">
        <f>'3. Earnings Build'!BM149</f>
        <v>92.609</v>
      </c>
      <c r="BN20" s="249">
        <f>'3. Earnings Build'!BN149</f>
        <v>97.015</v>
      </c>
      <c r="BO20" s="251">
        <f>'3. Earnings Build'!BO149</f>
        <v>197.198</v>
      </c>
      <c r="BP20" s="248">
        <f>SUM(BL20:BO20)</f>
        <v>464.321</v>
      </c>
      <c r="BQ20" s="249">
        <f>'3. Earnings Build'!BQ149</f>
        <v>99.287</v>
      </c>
      <c r="BR20" s="249">
        <f>'3. Earnings Build'!BR149</f>
        <v>125.868</v>
      </c>
      <c r="BS20" s="249">
        <f>'3. Earnings Build'!BS149</f>
        <v>117.804</v>
      </c>
      <c r="BT20" s="249">
        <f>'3. Earnings Build'!BT149</f>
        <v>232.577</v>
      </c>
      <c r="BU20" s="248">
        <f>SUM(BQ20:BT20)</f>
        <v>575.536</v>
      </c>
      <c r="BV20" s="249">
        <f>'3. Earnings Build'!BV149</f>
        <v>120.907</v>
      </c>
      <c r="BW20" s="249">
        <f>'3. Earnings Build'!BW149</f>
        <v>154.332</v>
      </c>
      <c r="BX20" s="249">
        <f>'3. Earnings Build'!BX149</f>
        <v>147.734</v>
      </c>
      <c r="BY20" s="249">
        <f>'3. Earnings Build'!BY149</f>
        <v>266.366</v>
      </c>
      <c r="BZ20" s="248">
        <f>SUM(BV20:BY20)</f>
        <v>689.339</v>
      </c>
      <c r="CA20" s="249">
        <f>'3. Earnings Build'!CA149</f>
        <v>-30.154</v>
      </c>
      <c r="CB20" s="249">
        <f>'3. Earnings Build'!CB149</f>
        <v>-5.293</v>
      </c>
      <c r="CC20" s="249">
        <f>'3. Earnings Build'!CC149</f>
        <v>111.78</v>
      </c>
      <c r="CD20" s="249">
        <f>'3. Earnings Build'!CD149</f>
        <v>136.259</v>
      </c>
      <c r="CE20" s="248">
        <f>SUM(CA20:CD20)</f>
        <v>212.592</v>
      </c>
      <c r="CF20" s="249">
        <f>'3. Earnings Build'!CF149</f>
        <v>99.148</v>
      </c>
      <c r="CG20" s="249">
        <f>'3. Earnings Build'!CG149</f>
        <v>184.996</v>
      </c>
      <c r="CH20" s="249">
        <f>'3. Earnings Build'!CH149</f>
        <v>180.7</v>
      </c>
      <c r="CI20" s="249">
        <f>'3. Earnings Build'!CI149</f>
        <v>262.891</v>
      </c>
      <c r="CJ20" s="248">
        <f>SUM(CF20:CI20)</f>
        <v>727.735</v>
      </c>
      <c r="CK20" s="249">
        <f>'3. Earnings Build'!CK149</f>
        <v>160.706</v>
      </c>
      <c r="CL20" s="249">
        <f>'3. Earnings Build'!CL149</f>
        <v>256.807</v>
      </c>
      <c r="CM20" s="249">
        <f>'3. Earnings Build'!CM149</f>
        <v>242.733</v>
      </c>
      <c r="CN20" s="249">
        <f>'3. Earnings Build'!CN149</f>
        <v>330.821</v>
      </c>
      <c r="CO20" s="248">
        <f>SUM(CK20:CN20)</f>
        <v>991.067</v>
      </c>
      <c r="CP20" s="249">
        <f>'3. Earnings Build'!CP149</f>
        <v>259.819</v>
      </c>
      <c r="CQ20" s="249">
        <f>'3. Earnings Build'!CQ149</f>
        <v>339.692</v>
      </c>
      <c r="CR20" s="249">
        <f>'3. Earnings Build'!CR149</f>
        <v>310.51</v>
      </c>
      <c r="CS20" s="273">
        <f>'3. Earnings Build'!CS149</f>
        <v>400</v>
      </c>
      <c r="CT20" s="274">
        <f>SUM(CP20:CS20)</f>
        <v>1310.021</v>
      </c>
      <c r="CU20" s="249"/>
      <c r="CV20" s="249"/>
      <c r="CW20" s="249"/>
      <c r="CX20" s="249"/>
      <c r="CY20" s="248"/>
      <c r="CZ20" s="249"/>
      <c r="DA20" s="249"/>
      <c r="DB20" s="249"/>
      <c r="DC20" s="249"/>
      <c r="DD20" s="248"/>
      <c r="DE20" s="249"/>
      <c r="DF20" s="249"/>
      <c r="DG20" s="249"/>
      <c r="DH20" s="249"/>
      <c r="DI20" s="248"/>
      <c r="DJ20" s="249"/>
      <c r="DK20" s="249"/>
      <c r="DL20" s="249"/>
      <c r="DM20" s="249"/>
      <c r="DN20" s="248"/>
      <c r="DO20" s="249"/>
      <c r="DP20" s="249"/>
      <c r="DQ20" s="249"/>
      <c r="DR20" s="249"/>
      <c r="DS20" s="248"/>
    </row>
    <row r="21" hidden="1" outlineLevel="1" spans="1:123">
      <c r="B21" s="512" t="s">
        <v>54</v>
      </c>
      <c r="C21" s="248"/>
      <c r="D21" s="249"/>
      <c r="E21" s="249"/>
      <c r="F21" s="249"/>
      <c r="G21" s="249"/>
      <c r="H21" s="248"/>
      <c r="I21" s="249"/>
      <c r="J21" s="249"/>
      <c r="K21" s="249"/>
      <c r="L21" s="249"/>
      <c r="M21" s="248"/>
      <c r="N21" s="249">
        <f>'3. Earnings Build'!N150</f>
        <v>0</v>
      </c>
      <c r="O21" s="249">
        <f>'3. Earnings Build'!O150</f>
        <v>0</v>
      </c>
      <c r="P21" s="249">
        <f>'3. Earnings Build'!P150</f>
        <v>0</v>
      </c>
      <c r="Q21" s="249">
        <f>'3. Earnings Build'!Q150</f>
        <v>0</v>
      </c>
      <c r="R21" s="248">
        <f>SUM(N21:Q21)</f>
        <v>0</v>
      </c>
      <c r="S21" s="249">
        <f>'3. Earnings Build'!S150</f>
        <v>0</v>
      </c>
      <c r="T21" s="249">
        <f>'3. Earnings Build'!T150</f>
        <v>0</v>
      </c>
      <c r="U21" s="249">
        <f>'3. Earnings Build'!U150</f>
        <v>0</v>
      </c>
      <c r="V21" s="249">
        <f>'3. Earnings Build'!V150</f>
        <v>0</v>
      </c>
      <c r="W21" s="248">
        <f>SUM(S21:V21)</f>
        <v>0</v>
      </c>
      <c r="X21" s="249">
        <f>'3. Earnings Build'!X150</f>
        <v>0.365</v>
      </c>
      <c r="Y21" s="249">
        <f>'3. Earnings Build'!Y150</f>
        <v>1.199</v>
      </c>
      <c r="Z21" s="249">
        <f>'3. Earnings Build'!Z150</f>
        <v>1.811</v>
      </c>
      <c r="AA21" s="249">
        <f>'3. Earnings Build'!AA150</f>
        <v>2.913</v>
      </c>
      <c r="AB21" s="248">
        <f>SUM(X21:AA21)</f>
        <v>6.288</v>
      </c>
      <c r="AC21" s="249">
        <f>'3. Earnings Build'!AC150</f>
        <v>3.242</v>
      </c>
      <c r="AD21" s="249">
        <f>'3. Earnings Build'!AD150</f>
        <v>2.817</v>
      </c>
      <c r="AE21" s="249">
        <f>'3. Earnings Build'!AE150</f>
        <v>3.901</v>
      </c>
      <c r="AF21" s="249">
        <f>'3. Earnings Build'!AF150</f>
        <v>6.404</v>
      </c>
      <c r="AG21" s="248">
        <f>SUM(AC21:AF21)</f>
        <v>16.364</v>
      </c>
      <c r="AH21" s="249">
        <f>'3. Earnings Build'!AH150</f>
        <v>4.291</v>
      </c>
      <c r="AI21" s="249">
        <f>'3. Earnings Build'!AI150</f>
        <v>8.178</v>
      </c>
      <c r="AJ21" s="249">
        <f>'3. Earnings Build'!AJ150</f>
        <v>9.098</v>
      </c>
      <c r="AK21" s="249">
        <f>'3. Earnings Build'!AK150</f>
        <v>22.601</v>
      </c>
      <c r="AL21" s="248">
        <f>SUM(AH21:AK21)</f>
        <v>44.168</v>
      </c>
      <c r="AM21" s="249">
        <f>'3. Earnings Build'!AM150</f>
        <v>17.057</v>
      </c>
      <c r="AN21" s="249">
        <f>'3. Earnings Build'!AN150</f>
        <v>14.085</v>
      </c>
      <c r="AO21" s="249">
        <f>'3. Earnings Build'!AO150</f>
        <v>18.373</v>
      </c>
      <c r="AP21" s="249">
        <f>'3. Earnings Build'!AP150</f>
        <v>33.432</v>
      </c>
      <c r="AQ21" s="248">
        <f>SUM(AM21:AP21)</f>
        <v>82.947</v>
      </c>
      <c r="AR21" s="249">
        <f>'3. Earnings Build'!AR150</f>
        <v>21.216</v>
      </c>
      <c r="AS21" s="249">
        <f>'3. Earnings Build'!AS150</f>
        <v>20.633</v>
      </c>
      <c r="AT21" s="249">
        <f>'3. Earnings Build'!AT150</f>
        <v>27.98</v>
      </c>
      <c r="AU21" s="249">
        <f>'3. Earnings Build'!AU150</f>
        <v>39.74</v>
      </c>
      <c r="AV21" s="248">
        <f>SUM(AR21:AU21)</f>
        <v>109.569</v>
      </c>
      <c r="AW21" s="249">
        <f>'3. Earnings Build'!AW150</f>
        <v>27.117</v>
      </c>
      <c r="AX21" s="249">
        <f>'3. Earnings Build'!AX150</f>
        <v>24.087</v>
      </c>
      <c r="AY21" s="249">
        <f>'3. Earnings Build'!AY150</f>
        <v>32.292</v>
      </c>
      <c r="AZ21" s="249">
        <f>'3. Earnings Build'!AZ150</f>
        <v>49.381</v>
      </c>
      <c r="BA21" s="248">
        <f>SUM(AW21:AZ21)</f>
        <v>132.877</v>
      </c>
      <c r="BB21" s="249">
        <f>'3. Earnings Build'!BB150</f>
        <v>34.871</v>
      </c>
      <c r="BC21" s="249">
        <f>'3. Earnings Build'!BC150</f>
        <v>32.25</v>
      </c>
      <c r="BD21" s="249">
        <f>'3. Earnings Build'!BD150</f>
        <v>37.985</v>
      </c>
      <c r="BE21" s="249">
        <f>'3. Earnings Build'!BE150</f>
        <v>61.312</v>
      </c>
      <c r="BF21" s="248">
        <f>SUM(BB21:BE21)</f>
        <v>166.418</v>
      </c>
      <c r="BG21" s="249">
        <f>'3. Earnings Build'!BG150</f>
        <v>38.551</v>
      </c>
      <c r="BH21" s="249">
        <f>'3. Earnings Build'!BH150</f>
        <v>32.644</v>
      </c>
      <c r="BI21" s="249">
        <f>'3. Earnings Build'!BI150</f>
        <v>43.588</v>
      </c>
      <c r="BJ21" s="249">
        <f>'3. Earnings Build'!BJ150</f>
        <v>71.395</v>
      </c>
      <c r="BK21" s="248">
        <f>SUM(BG21:BJ21)</f>
        <v>186.178</v>
      </c>
      <c r="BL21" s="249">
        <f>'3. Earnings Build'!BL150</f>
        <v>35.442</v>
      </c>
      <c r="BM21" s="249">
        <f>'3. Earnings Build'!BM150</f>
        <v>40.139</v>
      </c>
      <c r="BN21" s="249">
        <f>'3. Earnings Build'!BN150</f>
        <v>52.201</v>
      </c>
      <c r="BO21" s="251">
        <f>'3. Earnings Build'!BO150</f>
        <v>103.513</v>
      </c>
      <c r="BP21" s="248">
        <f>SUM(BL21:BO21)</f>
        <v>231.295</v>
      </c>
      <c r="BQ21" s="249">
        <f>'3. Earnings Build'!BQ150</f>
        <v>62.267</v>
      </c>
      <c r="BR21" s="249">
        <f>'3. Earnings Build'!BR150</f>
        <v>67.033</v>
      </c>
      <c r="BS21" s="249">
        <f>'3. Earnings Build'!BS150</f>
        <v>76.435</v>
      </c>
      <c r="BT21" s="249">
        <f>'3. Earnings Build'!BT150</f>
        <v>148.372</v>
      </c>
      <c r="BU21" s="248">
        <f>SUM(BQ21:BT21)</f>
        <v>354.107</v>
      </c>
      <c r="BV21" s="249">
        <f>'3. Earnings Build'!BV150</f>
        <v>78.675</v>
      </c>
      <c r="BW21" s="249">
        <f>'3. Earnings Build'!BW150</f>
        <v>86.081</v>
      </c>
      <c r="BX21" s="249">
        <f>'3. Earnings Build'!BX150</f>
        <v>103.282</v>
      </c>
      <c r="BY21" s="249">
        <f>'3. Earnings Build'!BY150</f>
        <v>214.33</v>
      </c>
      <c r="BZ21" s="248">
        <f>SUM(BV21:BY21)</f>
        <v>482.368</v>
      </c>
      <c r="CA21" s="249">
        <f>'3. Earnings Build'!CA150</f>
        <v>156.947</v>
      </c>
      <c r="CB21" s="249">
        <f>'3. Earnings Build'!CB150</f>
        <v>237.595</v>
      </c>
      <c r="CC21" s="249">
        <f>'3. Earnings Build'!CC150</f>
        <v>209.61</v>
      </c>
      <c r="CD21" s="249">
        <f>'3. Earnings Build'!CD150</f>
        <v>424.95</v>
      </c>
      <c r="CE21" s="248">
        <f>SUM(CA21:CD21)</f>
        <v>1029.102</v>
      </c>
      <c r="CF21" s="249">
        <f>'3. Earnings Build'!CF150</f>
        <v>236.933</v>
      </c>
      <c r="CG21" s="249">
        <f>'3. Earnings Build'!CG150</f>
        <v>260.248</v>
      </c>
      <c r="CH21" s="249">
        <f>'3. Earnings Build'!CH150</f>
        <v>257.05</v>
      </c>
      <c r="CI21" s="249">
        <f>'3. Earnings Build'!CI150</f>
        <v>462.265</v>
      </c>
      <c r="CJ21" s="248">
        <f>SUM(CF21:CI21)</f>
        <v>1216.496</v>
      </c>
      <c r="CK21" s="249">
        <f>'3. Earnings Build'!CK150</f>
        <v>285.107</v>
      </c>
      <c r="CL21" s="249">
        <f>'3. Earnings Build'!CL150</f>
        <v>326.423</v>
      </c>
      <c r="CM21" s="249">
        <f>'3. Earnings Build'!CM150</f>
        <v>321.742</v>
      </c>
      <c r="CN21" s="249">
        <f>'3. Earnings Build'!CN150</f>
        <v>629.266</v>
      </c>
      <c r="CO21" s="248">
        <f>SUM(CK21:CN21)</f>
        <v>1562.538</v>
      </c>
      <c r="CP21" s="249">
        <f>'3. Earnings Build'!CP150</f>
        <v>369.453</v>
      </c>
      <c r="CQ21" s="249">
        <f>'3. Earnings Build'!CQ150</f>
        <v>383.87</v>
      </c>
      <c r="CR21" s="249">
        <f>'3. Earnings Build'!CR150</f>
        <v>384.393</v>
      </c>
      <c r="CS21" s="273">
        <f>'3. Earnings Build'!CS150</f>
        <v>750</v>
      </c>
      <c r="CT21" s="274">
        <f>SUM(CP21:CS21)</f>
        <v>1887.716</v>
      </c>
      <c r="CU21" s="249"/>
      <c r="CV21" s="249"/>
      <c r="CW21" s="249"/>
      <c r="CX21" s="249"/>
      <c r="CY21" s="248"/>
      <c r="CZ21" s="249"/>
      <c r="DA21" s="249"/>
      <c r="DB21" s="249"/>
      <c r="DC21" s="249"/>
      <c r="DD21" s="248"/>
      <c r="DE21" s="249"/>
      <c r="DF21" s="249"/>
      <c r="DG21" s="249"/>
      <c r="DH21" s="249"/>
      <c r="DI21" s="248"/>
      <c r="DJ21" s="249"/>
      <c r="DK21" s="249"/>
      <c r="DL21" s="249"/>
      <c r="DM21" s="249"/>
      <c r="DN21" s="248"/>
      <c r="DO21" s="249"/>
      <c r="DP21" s="249"/>
      <c r="DQ21" s="249"/>
      <c r="DR21" s="249"/>
      <c r="DS21" s="248"/>
    </row>
    <row r="22" hidden="1" outlineLevel="1" spans="1:123">
      <c r="B22" s="512" t="s">
        <v>55</v>
      </c>
      <c r="C22" s="248"/>
      <c r="D22" s="249"/>
      <c r="E22" s="249"/>
      <c r="F22" s="249"/>
      <c r="G22" s="249"/>
      <c r="H22" s="248"/>
      <c r="I22" s="249"/>
      <c r="J22" s="249"/>
      <c r="K22" s="249"/>
      <c r="L22" s="249"/>
      <c r="M22" s="248"/>
      <c r="N22" s="249">
        <f>'3. Earnings Build'!N151</f>
        <v>3.157</v>
      </c>
      <c r="O22" s="249">
        <f>'3. Earnings Build'!O151</f>
        <v>2.061</v>
      </c>
      <c r="P22" s="249">
        <f>'3. Earnings Build'!P151</f>
        <v>2.03</v>
      </c>
      <c r="Q22" s="249">
        <f>'3. Earnings Build'!Q151</f>
        <v>7.152</v>
      </c>
      <c r="R22" s="248">
        <f>SUM(N22:Q22)</f>
        <v>14.4</v>
      </c>
      <c r="S22" s="249">
        <f>'3. Earnings Build'!S151</f>
        <v>3.875</v>
      </c>
      <c r="T22" s="249">
        <f>'3. Earnings Build'!T151</f>
        <v>2.963</v>
      </c>
      <c r="U22" s="249">
        <f>'3. Earnings Build'!U151</f>
        <v>2.58</v>
      </c>
      <c r="V22" s="249">
        <f>'3. Earnings Build'!V151</f>
        <v>9.982</v>
      </c>
      <c r="W22" s="248">
        <f>SUM(S22:V22)</f>
        <v>19.4</v>
      </c>
      <c r="X22" s="249">
        <f>'3. Earnings Build'!X151</f>
        <v>2.198</v>
      </c>
      <c r="Y22" s="249">
        <f>'3. Earnings Build'!Y151</f>
        <v>2.818</v>
      </c>
      <c r="Z22" s="249">
        <f>'3. Earnings Build'!Z151</f>
        <v>2.776</v>
      </c>
      <c r="AA22" s="249">
        <f>'3. Earnings Build'!AA151</f>
        <v>3.053</v>
      </c>
      <c r="AB22" s="248">
        <f>SUM(X22:AA22)</f>
        <v>10.845</v>
      </c>
      <c r="AC22" s="249">
        <f>'3. Earnings Build'!AC151</f>
        <v>4.632</v>
      </c>
      <c r="AD22" s="249">
        <f>'3. Earnings Build'!AD151</f>
        <v>3.31</v>
      </c>
      <c r="AE22" s="249">
        <f>'3. Earnings Build'!AE151</f>
        <v>5.543</v>
      </c>
      <c r="AF22" s="249">
        <f>'3. Earnings Build'!AF151</f>
        <v>4.519</v>
      </c>
      <c r="AG22" s="248">
        <f>SUM(AC22:AF22)</f>
        <v>18.004</v>
      </c>
      <c r="AH22" s="249">
        <f>'3. Earnings Build'!AH151</f>
        <v>4.993</v>
      </c>
      <c r="AI22" s="249">
        <f>'3. Earnings Build'!AI151</f>
        <v>4.704</v>
      </c>
      <c r="AJ22" s="249">
        <f>'3. Earnings Build'!AJ151</f>
        <v>3.663</v>
      </c>
      <c r="AK22" s="249">
        <f>'3. Earnings Build'!AK151</f>
        <v>7.865</v>
      </c>
      <c r="AL22" s="248">
        <f>SUM(AH22:AK22)</f>
        <v>21.225</v>
      </c>
      <c r="AM22" s="249">
        <f>'3. Earnings Build'!AM151</f>
        <v>3.856</v>
      </c>
      <c r="AN22" s="249">
        <f>'3. Earnings Build'!AN151</f>
        <v>3.008</v>
      </c>
      <c r="AO22" s="249">
        <f>'3. Earnings Build'!AO151</f>
        <v>4.049</v>
      </c>
      <c r="AP22" s="249">
        <f>'3. Earnings Build'!AP151</f>
        <v>6.457</v>
      </c>
      <c r="AQ22" s="248">
        <f>SUM(AM22:AP22)</f>
        <v>17.37</v>
      </c>
      <c r="AR22" s="249">
        <f>'3. Earnings Build'!AR151</f>
        <v>4.404</v>
      </c>
      <c r="AS22" s="249">
        <f>'3. Earnings Build'!AS151</f>
        <v>3.325</v>
      </c>
      <c r="AT22" s="249">
        <f>'3. Earnings Build'!AT151</f>
        <v>4.597</v>
      </c>
      <c r="AU22" s="249">
        <f>'3. Earnings Build'!AU151</f>
        <v>3.781</v>
      </c>
      <c r="AV22" s="248">
        <f>SUM(AR22:AU22)</f>
        <v>16.107</v>
      </c>
      <c r="AW22" s="249">
        <f>'3. Earnings Build'!AW151</f>
        <v>3.276</v>
      </c>
      <c r="AX22" s="249">
        <f>'3. Earnings Build'!AX151</f>
        <v>3.496</v>
      </c>
      <c r="AY22" s="249">
        <f>'3. Earnings Build'!AY151</f>
        <v>3.279</v>
      </c>
      <c r="AZ22" s="249">
        <f>'3. Earnings Build'!AZ151</f>
        <v>-0.552</v>
      </c>
      <c r="BA22" s="248">
        <f>SUM(AW22:AZ22)</f>
        <v>9.499</v>
      </c>
      <c r="BB22" s="249">
        <f>'3. Earnings Build'!BB151</f>
        <v>0.981</v>
      </c>
      <c r="BC22" s="249">
        <f>'3. Earnings Build'!BC151</f>
        <v>1.82</v>
      </c>
      <c r="BD22" s="249">
        <f>'3. Earnings Build'!BD151</f>
        <v>1.569</v>
      </c>
      <c r="BE22" s="249">
        <f>'3. Earnings Build'!BE151</f>
        <v>1.456</v>
      </c>
      <c r="BF22" s="248">
        <f>SUM(BB22:BE22)</f>
        <v>5.826</v>
      </c>
      <c r="BG22" s="249">
        <f>'3. Earnings Build'!BG151</f>
        <v>2.069</v>
      </c>
      <c r="BH22" s="249">
        <f>'3. Earnings Build'!BH151</f>
        <v>4.636</v>
      </c>
      <c r="BI22" s="249">
        <f>'3. Earnings Build'!BI151</f>
        <v>5.709</v>
      </c>
      <c r="BJ22" s="249">
        <f>'3. Earnings Build'!BJ151</f>
        <v>9.898</v>
      </c>
      <c r="BK22" s="248">
        <f>SUM(BG22:BJ22)</f>
        <v>22.312</v>
      </c>
      <c r="BL22" s="249">
        <f>'3. Earnings Build'!BL151</f>
        <v>2.836</v>
      </c>
      <c r="BM22" s="249">
        <f>'3. Earnings Build'!BM151</f>
        <v>6.952</v>
      </c>
      <c r="BN22" s="249">
        <f>'3. Earnings Build'!BN151</f>
        <v>9.319</v>
      </c>
      <c r="BO22" s="251">
        <f>'3. Earnings Build'!BO151</f>
        <v>16.473</v>
      </c>
      <c r="BP22" s="248">
        <f>SUM(BL22:BO22)</f>
        <v>35.58</v>
      </c>
      <c r="BQ22" s="249">
        <f>'3. Earnings Build'!BQ151</f>
        <v>11.223</v>
      </c>
      <c r="BR22" s="249">
        <f>'3. Earnings Build'!BR151</f>
        <v>13.094</v>
      </c>
      <c r="BS22" s="249">
        <f>'3. Earnings Build'!BS151</f>
        <v>15.019</v>
      </c>
      <c r="BT22" s="249">
        <f>'3. Earnings Build'!BT151</f>
        <v>23.252</v>
      </c>
      <c r="BU22" s="248">
        <f>SUM(BQ22:BT22)</f>
        <v>62.588</v>
      </c>
      <c r="BV22" s="249">
        <f>'3. Earnings Build'!BV151</f>
        <v>12.633</v>
      </c>
      <c r="BW22" s="249">
        <f>'3. Earnings Build'!BW151</f>
        <v>16.619</v>
      </c>
      <c r="BX22" s="249">
        <f>'3. Earnings Build'!BX151</f>
        <v>16.944</v>
      </c>
      <c r="BY22" s="249">
        <f>'3. Earnings Build'!BY151</f>
        <v>26.363</v>
      </c>
      <c r="BZ22" s="248">
        <f>SUM(BV22:BY22)</f>
        <v>72.559</v>
      </c>
      <c r="CA22" s="249">
        <f>'3. Earnings Build'!CA151</f>
        <v>-0.269</v>
      </c>
      <c r="CB22" s="249">
        <f>'3. Earnings Build'!CB151</f>
        <v>2.587</v>
      </c>
      <c r="CC22" s="249">
        <f>'3. Earnings Build'!CC151</f>
        <v>1.304</v>
      </c>
      <c r="CD22" s="249">
        <f>'3. Earnings Build'!CD151</f>
        <v>6.88</v>
      </c>
      <c r="CE22" s="248">
        <f>SUM(CA22:CD22)</f>
        <v>10.502</v>
      </c>
      <c r="CF22" s="249">
        <f>'3. Earnings Build'!CF151</f>
        <v>14.506</v>
      </c>
      <c r="CG22" s="249">
        <f>'3. Earnings Build'!CG151</f>
        <v>22.24</v>
      </c>
      <c r="CH22" s="249">
        <f>'3. Earnings Build'!CH151</f>
        <v>27.45</v>
      </c>
      <c r="CI22" s="249">
        <f>'3. Earnings Build'!CI151</f>
        <v>13.087</v>
      </c>
      <c r="CJ22" s="248">
        <f>SUM(CF22:CI22)</f>
        <v>77.283</v>
      </c>
      <c r="CK22" s="249">
        <f>'3. Earnings Build'!CK151</f>
        <v>19.527</v>
      </c>
      <c r="CL22" s="249">
        <f>'3. Earnings Build'!CL151</f>
        <v>29.626</v>
      </c>
      <c r="CM22" s="249">
        <f>'3. Earnings Build'!CM151</f>
        <v>24.911</v>
      </c>
      <c r="CN22" s="249">
        <f>'3. Earnings Build'!CN151</f>
        <v>33.019</v>
      </c>
      <c r="CO22" s="248">
        <f>SUM(CK22:CN22)</f>
        <v>107.083</v>
      </c>
      <c r="CP22" s="249">
        <f>'3. Earnings Build'!CP151</f>
        <v>44.083</v>
      </c>
      <c r="CQ22" s="249">
        <f>'3. Earnings Build'!CQ151</f>
        <v>48.683</v>
      </c>
      <c r="CR22" s="249">
        <f>'3. Earnings Build'!CR151</f>
        <v>53.527</v>
      </c>
      <c r="CS22" s="273">
        <f>'3. Earnings Build'!CS151</f>
        <v>36.3</v>
      </c>
      <c r="CT22" s="274">
        <f>SUM(CP22:CS22)</f>
        <v>182.593</v>
      </c>
      <c r="CU22" s="249"/>
      <c r="CV22" s="249"/>
      <c r="CW22" s="249"/>
      <c r="CX22" s="249"/>
      <c r="CY22" s="248"/>
      <c r="CZ22" s="249"/>
      <c r="DA22" s="249"/>
      <c r="DB22" s="249"/>
      <c r="DC22" s="249"/>
      <c r="DD22" s="248"/>
      <c r="DE22" s="249"/>
      <c r="DF22" s="249"/>
      <c r="DG22" s="249"/>
      <c r="DH22" s="249"/>
      <c r="DI22" s="248"/>
      <c r="DJ22" s="249"/>
      <c r="DK22" s="249"/>
      <c r="DL22" s="249"/>
      <c r="DM22" s="249"/>
      <c r="DN22" s="248"/>
      <c r="DO22" s="249"/>
      <c r="DP22" s="249"/>
      <c r="DQ22" s="249"/>
      <c r="DR22" s="249"/>
      <c r="DS22" s="248"/>
    </row>
    <row r="23" s="3" customFormat="1" hidden="1" outlineLevel="1" spans="1:123">
      <c r="A23" s="132"/>
      <c r="B23" s="425" t="s">
        <v>61</v>
      </c>
      <c r="C23" s="264"/>
      <c r="D23" s="265"/>
      <c r="E23" s="265"/>
      <c r="F23" s="265"/>
      <c r="G23" s="265"/>
      <c r="H23" s="264"/>
      <c r="I23" s="265"/>
      <c r="J23" s="265"/>
      <c r="K23" s="265"/>
      <c r="L23" s="265"/>
      <c r="M23" s="264"/>
      <c r="N23" s="265">
        <f t="shared" ref="N23:AS23" si="18">SUM(N20:N22)</f>
        <v>15.048</v>
      </c>
      <c r="O23" s="265">
        <f t="shared" si="18"/>
        <v>19.004</v>
      </c>
      <c r="P23" s="265">
        <f t="shared" si="18"/>
        <v>21.308</v>
      </c>
      <c r="Q23" s="265">
        <f t="shared" si="18"/>
        <v>38.84</v>
      </c>
      <c r="R23" s="264">
        <f t="shared" si="18"/>
        <v>94.2</v>
      </c>
      <c r="S23" s="265">
        <f t="shared" si="18"/>
        <v>27.092</v>
      </c>
      <c r="T23" s="265">
        <f t="shared" si="18"/>
        <v>26.721</v>
      </c>
      <c r="U23" s="265">
        <f t="shared" si="18"/>
        <v>23.981</v>
      </c>
      <c r="V23" s="265">
        <f t="shared" si="18"/>
        <v>36.506</v>
      </c>
      <c r="W23" s="264">
        <f t="shared" si="18"/>
        <v>114.3</v>
      </c>
      <c r="X23" s="265">
        <f t="shared" si="18"/>
        <v>24.25</v>
      </c>
      <c r="Y23" s="265">
        <f t="shared" si="18"/>
        <v>27.565</v>
      </c>
      <c r="Z23" s="265">
        <f t="shared" si="18"/>
        <v>35.347</v>
      </c>
      <c r="AA23" s="265">
        <f t="shared" si="18"/>
        <v>51.585</v>
      </c>
      <c r="AB23" s="264">
        <f t="shared" si="18"/>
        <v>138.747</v>
      </c>
      <c r="AC23" s="265">
        <f t="shared" si="18"/>
        <v>53.829</v>
      </c>
      <c r="AD23" s="265">
        <f t="shared" si="18"/>
        <v>50.48</v>
      </c>
      <c r="AE23" s="265">
        <f t="shared" si="18"/>
        <v>60.231</v>
      </c>
      <c r="AF23" s="265">
        <f t="shared" si="18"/>
        <v>84.982</v>
      </c>
      <c r="AG23" s="264">
        <f t="shared" si="18"/>
        <v>249.522</v>
      </c>
      <c r="AH23" s="265">
        <f t="shared" si="18"/>
        <v>68.421</v>
      </c>
      <c r="AI23" s="265">
        <f t="shared" si="18"/>
        <v>76.955</v>
      </c>
      <c r="AJ23" s="265">
        <f t="shared" si="18"/>
        <v>79.092</v>
      </c>
      <c r="AK23" s="265">
        <f t="shared" si="18"/>
        <v>139.899</v>
      </c>
      <c r="AL23" s="264">
        <f t="shared" si="18"/>
        <v>364.367</v>
      </c>
      <c r="AM23" s="265">
        <f t="shared" si="18"/>
        <v>98.165</v>
      </c>
      <c r="AN23" s="265">
        <f t="shared" si="18"/>
        <v>94.133</v>
      </c>
      <c r="AO23" s="265">
        <f t="shared" si="18"/>
        <v>107.121</v>
      </c>
      <c r="AP23" s="265">
        <f t="shared" si="18"/>
        <v>180.568</v>
      </c>
      <c r="AQ23" s="264">
        <f t="shared" si="18"/>
        <v>479.987</v>
      </c>
      <c r="AR23" s="265">
        <f t="shared" si="18"/>
        <v>95.179</v>
      </c>
      <c r="AS23" s="265">
        <f t="shared" si="18"/>
        <v>107.488</v>
      </c>
      <c r="AT23" s="265">
        <f t="shared" ref="AT23:BY23" si="19">SUM(AT20:AT22)</f>
        <v>122.253</v>
      </c>
      <c r="AU23" s="265">
        <f t="shared" si="19"/>
        <v>173.387</v>
      </c>
      <c r="AV23" s="264">
        <f t="shared" si="19"/>
        <v>498.307</v>
      </c>
      <c r="AW23" s="265">
        <f t="shared" si="19"/>
        <v>106.09</v>
      </c>
      <c r="AX23" s="265">
        <f t="shared" si="19"/>
        <v>102.474</v>
      </c>
      <c r="AY23" s="265">
        <f t="shared" si="19"/>
        <v>109.561</v>
      </c>
      <c r="AZ23" s="265">
        <f t="shared" si="19"/>
        <v>180.84</v>
      </c>
      <c r="BA23" s="264">
        <f t="shared" si="19"/>
        <v>498.965</v>
      </c>
      <c r="BB23" s="265">
        <f t="shared" si="19"/>
        <v>105.075</v>
      </c>
      <c r="BC23" s="265">
        <f t="shared" si="19"/>
        <v>101.511</v>
      </c>
      <c r="BD23" s="265">
        <f t="shared" si="19"/>
        <v>110.283</v>
      </c>
      <c r="BE23" s="265">
        <f t="shared" si="19"/>
        <v>202.177</v>
      </c>
      <c r="BF23" s="264">
        <f t="shared" si="19"/>
        <v>519.046</v>
      </c>
      <c r="BG23" s="265">
        <f t="shared" si="19"/>
        <v>113.879</v>
      </c>
      <c r="BH23" s="265">
        <f t="shared" si="19"/>
        <v>117.557</v>
      </c>
      <c r="BI23" s="265">
        <f t="shared" si="19"/>
        <v>140.794</v>
      </c>
      <c r="BJ23" s="265">
        <f t="shared" si="19"/>
        <v>251.895</v>
      </c>
      <c r="BK23" s="264">
        <f t="shared" si="19"/>
        <v>624.125</v>
      </c>
      <c r="BL23" s="265">
        <f t="shared" si="19"/>
        <v>115.777</v>
      </c>
      <c r="BM23" s="265">
        <f t="shared" si="19"/>
        <v>139.7</v>
      </c>
      <c r="BN23" s="265">
        <f t="shared" si="19"/>
        <v>158.535</v>
      </c>
      <c r="BO23" s="271">
        <f t="shared" si="19"/>
        <v>317.184</v>
      </c>
      <c r="BP23" s="264">
        <f t="shared" si="19"/>
        <v>731.196</v>
      </c>
      <c r="BQ23" s="265">
        <f t="shared" si="19"/>
        <v>172.777</v>
      </c>
      <c r="BR23" s="265">
        <f t="shared" si="19"/>
        <v>205.995</v>
      </c>
      <c r="BS23" s="265">
        <f t="shared" si="19"/>
        <v>209.258</v>
      </c>
      <c r="BT23" s="265">
        <f t="shared" si="19"/>
        <v>404.201</v>
      </c>
      <c r="BU23" s="264">
        <f t="shared" si="19"/>
        <v>992.231</v>
      </c>
      <c r="BV23" s="265">
        <f t="shared" si="19"/>
        <v>212.215</v>
      </c>
      <c r="BW23" s="265">
        <f t="shared" si="19"/>
        <v>257.032</v>
      </c>
      <c r="BX23" s="265">
        <f t="shared" si="19"/>
        <v>267.96</v>
      </c>
      <c r="BY23" s="265">
        <f t="shared" si="19"/>
        <v>507.059</v>
      </c>
      <c r="BZ23" s="264">
        <f t="shared" ref="BZ23:CT23" si="20">SUM(BZ20:BZ22)</f>
        <v>1244.266</v>
      </c>
      <c r="CA23" s="265">
        <f t="shared" si="20"/>
        <v>126.524</v>
      </c>
      <c r="CB23" s="265">
        <f t="shared" si="20"/>
        <v>234.889</v>
      </c>
      <c r="CC23" s="265">
        <f t="shared" si="20"/>
        <v>322.694</v>
      </c>
      <c r="CD23" s="265">
        <f t="shared" si="20"/>
        <v>568.089</v>
      </c>
      <c r="CE23" s="264">
        <f t="shared" si="20"/>
        <v>1252.196</v>
      </c>
      <c r="CF23" s="265">
        <f t="shared" si="20"/>
        <v>350.587</v>
      </c>
      <c r="CG23" s="265">
        <f t="shared" si="20"/>
        <v>467.484</v>
      </c>
      <c r="CH23" s="265">
        <f t="shared" si="20"/>
        <v>465.2</v>
      </c>
      <c r="CI23" s="265">
        <f t="shared" si="20"/>
        <v>738.243</v>
      </c>
      <c r="CJ23" s="264">
        <f t="shared" si="20"/>
        <v>2021.514</v>
      </c>
      <c r="CK23" s="265">
        <f t="shared" si="20"/>
        <v>465.34</v>
      </c>
      <c r="CL23" s="265">
        <f t="shared" si="20"/>
        <v>612.856</v>
      </c>
      <c r="CM23" s="265">
        <f t="shared" si="20"/>
        <v>589.386</v>
      </c>
      <c r="CN23" s="265">
        <f t="shared" si="20"/>
        <v>993.106</v>
      </c>
      <c r="CO23" s="264">
        <f t="shared" si="20"/>
        <v>2660.688</v>
      </c>
      <c r="CP23" s="265">
        <f t="shared" si="20"/>
        <v>673.355</v>
      </c>
      <c r="CQ23" s="265">
        <f t="shared" si="20"/>
        <v>772.245</v>
      </c>
      <c r="CR23" s="265">
        <f t="shared" si="20"/>
        <v>748.43</v>
      </c>
      <c r="CS23" s="463">
        <f t="shared" si="20"/>
        <v>1186.3</v>
      </c>
      <c r="CT23" s="464">
        <f t="shared" si="20"/>
        <v>3380.33</v>
      </c>
      <c r="CU23" s="265"/>
      <c r="CV23" s="265"/>
      <c r="CW23" s="265"/>
      <c r="CX23" s="265"/>
      <c r="CY23" s="264"/>
      <c r="CZ23" s="265"/>
      <c r="DA23" s="265"/>
      <c r="DB23" s="265"/>
      <c r="DC23" s="265"/>
      <c r="DD23" s="264"/>
      <c r="DE23" s="265"/>
      <c r="DF23" s="265"/>
      <c r="DG23" s="265"/>
      <c r="DH23" s="265"/>
      <c r="DI23" s="264"/>
      <c r="DJ23" s="265"/>
      <c r="DK23" s="265"/>
      <c r="DL23" s="265"/>
      <c r="DM23" s="265"/>
      <c r="DN23" s="264"/>
      <c r="DO23" s="265"/>
      <c r="DP23" s="265"/>
      <c r="DQ23" s="265"/>
      <c r="DR23" s="265"/>
      <c r="DS23" s="264"/>
    </row>
    <row r="24" hidden="1" outlineLevel="1" spans="1:123">
      <c r="B24" s="277" t="s">
        <v>62</v>
      </c>
      <c r="C24" s="248"/>
      <c r="D24" s="249"/>
      <c r="E24" s="249"/>
      <c r="F24" s="249"/>
      <c r="G24" s="249"/>
      <c r="H24" s="248"/>
      <c r="I24" s="249"/>
      <c r="J24" s="249"/>
      <c r="K24" s="249"/>
      <c r="L24" s="249"/>
      <c r="M24" s="248"/>
      <c r="N24" s="249">
        <f>'3. Earnings Build'!N156</f>
        <v>-8.201</v>
      </c>
      <c r="O24" s="249">
        <f>'3. Earnings Build'!O156</f>
        <v>-9.26</v>
      </c>
      <c r="P24" s="249">
        <f>'3. Earnings Build'!P156</f>
        <v>-9.461</v>
      </c>
      <c r="Q24" s="249">
        <f>'3. Earnings Build'!Q156</f>
        <v>-17.178</v>
      </c>
      <c r="R24" s="248">
        <f>SUM(N24:Q24)</f>
        <v>-44.1</v>
      </c>
      <c r="S24" s="249">
        <f>'3. Earnings Build'!S156</f>
        <v>-15.371</v>
      </c>
      <c r="T24" s="249">
        <f>'3. Earnings Build'!T156</f>
        <v>-11.179</v>
      </c>
      <c r="U24" s="249">
        <f>'3. Earnings Build'!U156</f>
        <v>-10.926</v>
      </c>
      <c r="V24" s="249">
        <f>'3. Earnings Build'!V156</f>
        <v>-16.024</v>
      </c>
      <c r="W24" s="248">
        <f>SUM(S24:V24)</f>
        <v>-53.5</v>
      </c>
      <c r="X24" s="249">
        <f>'3. Earnings Build'!X156</f>
        <v>-14.397</v>
      </c>
      <c r="Y24" s="249">
        <f>'3. Earnings Build'!Y156</f>
        <v>-13.233</v>
      </c>
      <c r="Z24" s="249">
        <f>'3. Earnings Build'!Z156</f>
        <v>-14.421</v>
      </c>
      <c r="AA24" s="249">
        <f>'3. Earnings Build'!AA156</f>
        <v>-9.949</v>
      </c>
      <c r="AB24" s="248">
        <f>SUM(X24:AA24)</f>
        <v>-52</v>
      </c>
      <c r="AC24" s="249">
        <f>'3. Earnings Build'!AC156</f>
        <v>-21.355</v>
      </c>
      <c r="AD24" s="249">
        <f>'3. Earnings Build'!AD156</f>
        <v>-16.237</v>
      </c>
      <c r="AE24" s="249">
        <f>'3. Earnings Build'!AE156</f>
        <v>-17.855</v>
      </c>
      <c r="AF24" s="249">
        <f>'3. Earnings Build'!AF156</f>
        <v>-13.653</v>
      </c>
      <c r="AG24" s="248">
        <f>SUM(AC24:AF24)</f>
        <v>-69.1</v>
      </c>
      <c r="AH24" s="249">
        <f>'3. Earnings Build'!AH156</f>
        <v>-16.734</v>
      </c>
      <c r="AI24" s="249">
        <f>'3. Earnings Build'!AI156</f>
        <v>-17.472</v>
      </c>
      <c r="AJ24" s="249">
        <f>'3. Earnings Build'!AJ156</f>
        <v>-19.371</v>
      </c>
      <c r="AK24" s="249">
        <f>'3. Earnings Build'!AK156</f>
        <v>-23.823</v>
      </c>
      <c r="AL24" s="248">
        <f>SUM(AH24:AK24)</f>
        <v>-77.4</v>
      </c>
      <c r="AM24" s="249">
        <f>'3. Earnings Build'!AM156</f>
        <v>-25.1</v>
      </c>
      <c r="AN24" s="249">
        <f>'3. Earnings Build'!AN156</f>
        <v>-23.945</v>
      </c>
      <c r="AO24" s="249">
        <f>'3. Earnings Build'!AO156</f>
        <v>-26.51</v>
      </c>
      <c r="AP24" s="249">
        <f>'3. Earnings Build'!AP156</f>
        <v>-27.993</v>
      </c>
      <c r="AQ24" s="248">
        <f>SUM(AM24:AP24)</f>
        <v>-103.548</v>
      </c>
      <c r="AR24" s="249">
        <f>'3. Earnings Build'!AR156</f>
        <v>-29.29</v>
      </c>
      <c r="AS24" s="249">
        <f>'3. Earnings Build'!AS156</f>
        <v>-28.502</v>
      </c>
      <c r="AT24" s="249">
        <f>'3. Earnings Build'!AT156</f>
        <v>-29.917</v>
      </c>
      <c r="AU24" s="249">
        <f>'3. Earnings Build'!AU156</f>
        <v>-19.24</v>
      </c>
      <c r="AV24" s="248">
        <f>SUM(AR24:AU24)</f>
        <v>-106.949</v>
      </c>
      <c r="AW24" s="249">
        <f>'3. Earnings Build'!AW156</f>
        <v>-36.289</v>
      </c>
      <c r="AX24" s="249">
        <f>'3. Earnings Build'!AX156</f>
        <v>-34.586</v>
      </c>
      <c r="AY24" s="249">
        <f>'3. Earnings Build'!AY156</f>
        <v>-28.405</v>
      </c>
      <c r="AZ24" s="249">
        <f>'3. Earnings Build'!AZ156</f>
        <v>-23.652</v>
      </c>
      <c r="BA24" s="248">
        <f>SUM(AW24:AZ24)</f>
        <v>-122.932</v>
      </c>
      <c r="BB24" s="249">
        <f>'3. Earnings Build'!BB156</f>
        <v>-37.039</v>
      </c>
      <c r="BC24" s="249">
        <f>'3. Earnings Build'!BC156</f>
        <v>-34.932</v>
      </c>
      <c r="BD24" s="249">
        <f>'3. Earnings Build'!BD156</f>
        <v>-42.105</v>
      </c>
      <c r="BE24" s="249">
        <f>'3. Earnings Build'!BE156</f>
        <v>-35.894</v>
      </c>
      <c r="BF24" s="248">
        <f>SUM(BB24:BE24)</f>
        <v>-149.97</v>
      </c>
      <c r="BG24" s="249">
        <f>'3. Earnings Build'!BG156</f>
        <v>-56.29</v>
      </c>
      <c r="BH24" s="249">
        <f>'3. Earnings Build'!BH156</f>
        <v>-43.598</v>
      </c>
      <c r="BI24" s="249">
        <f>'3. Earnings Build'!BI156</f>
        <v>-47.819</v>
      </c>
      <c r="BJ24" s="249">
        <f>'3. Earnings Build'!BJ156</f>
        <v>-55.266</v>
      </c>
      <c r="BK24" s="248">
        <f>SUM(BG24:BJ24)</f>
        <v>-202.973</v>
      </c>
      <c r="BL24" s="249">
        <f>'3. Earnings Build'!BL156</f>
        <v>-52.604</v>
      </c>
      <c r="BM24" s="249">
        <f>'3. Earnings Build'!BM156</f>
        <v>-65.558</v>
      </c>
      <c r="BN24" s="249">
        <f>'3. Earnings Build'!BN156</f>
        <v>-50.762</v>
      </c>
      <c r="BO24" s="251">
        <f>'3. Earnings Build'!BO156</f>
        <v>-59.048</v>
      </c>
      <c r="BP24" s="248">
        <f>SUM(BL24:BO24)</f>
        <v>-227.972</v>
      </c>
      <c r="BQ24" s="249">
        <f>'3. Earnings Build'!BQ156</f>
        <v>-68.472</v>
      </c>
      <c r="BR24" s="249">
        <f>'3. Earnings Build'!BR156</f>
        <v>-71.787</v>
      </c>
      <c r="BS24" s="249">
        <f>'3. Earnings Build'!BS156</f>
        <v>-73.355</v>
      </c>
      <c r="BT24" s="249">
        <f>'3. Earnings Build'!BT156</f>
        <v>-72.751</v>
      </c>
      <c r="BU24" s="248">
        <f>SUM(BQ24:BT24)</f>
        <v>-286.365</v>
      </c>
      <c r="BV24" s="249">
        <f>'3. Earnings Build'!BV156</f>
        <v>-83.403</v>
      </c>
      <c r="BW24" s="249">
        <f>'3. Earnings Build'!BW156</f>
        <v>-89.05</v>
      </c>
      <c r="BX24" s="249">
        <f>'3. Earnings Build'!BX156</f>
        <v>-92.131</v>
      </c>
      <c r="BY24" s="249">
        <f>'3. Earnings Build'!BY156</f>
        <v>-90.572</v>
      </c>
      <c r="BZ24" s="248">
        <f>SUM(BV24:BY24)</f>
        <v>-355.156</v>
      </c>
      <c r="CA24" s="249">
        <f>'3. Earnings Build'!CA156</f>
        <v>-93.773</v>
      </c>
      <c r="CB24" s="249">
        <f>'3. Earnings Build'!CB156</f>
        <v>-99.016</v>
      </c>
      <c r="CC24" s="249">
        <f>'3. Earnings Build'!CC156</f>
        <v>-107.002</v>
      </c>
      <c r="CD24" s="249">
        <f>'3. Earnings Build'!CD156</f>
        <v>-100.186</v>
      </c>
      <c r="CE24" s="248">
        <f>SUM(CA24:CD24)</f>
        <v>-399.977</v>
      </c>
      <c r="CF24" s="249">
        <f>'3. Earnings Build'!CF156</f>
        <v>-146.907</v>
      </c>
      <c r="CG24" s="249">
        <f>'3. Earnings Build'!CG156</f>
        <v>-166.115</v>
      </c>
      <c r="CH24" s="249">
        <f>'3. Earnings Build'!CH156</f>
        <v>-180.931</v>
      </c>
      <c r="CI24" s="249">
        <f>'3. Earnings Build'!CI156</f>
        <v>-144.03</v>
      </c>
      <c r="CJ24" s="248">
        <f>SUM(CF24:CI24)</f>
        <v>-637.983</v>
      </c>
      <c r="CK24" s="249">
        <f>'3. Earnings Build'!CK156</f>
        <v>-202.798</v>
      </c>
      <c r="CL24" s="249">
        <f>'3. Earnings Build'!CL156</f>
        <v>-219.633</v>
      </c>
      <c r="CM24" s="249">
        <f>'3. Earnings Build'!CM156</f>
        <v>-234.77</v>
      </c>
      <c r="CN24" s="249">
        <f>'3. Earnings Build'!CN156</f>
        <v>-205.666</v>
      </c>
      <c r="CO24" s="248">
        <f>SUM(CK24:CN24)</f>
        <v>-862.867</v>
      </c>
      <c r="CP24" s="249">
        <f>'3. Earnings Build'!CP156</f>
        <v>-270.063</v>
      </c>
      <c r="CQ24" s="249">
        <f>'3. Earnings Build'!CQ156</f>
        <v>-291.109</v>
      </c>
      <c r="CR24" s="249">
        <f>'3. Earnings Build'!CR156</f>
        <v>-310.852</v>
      </c>
      <c r="CS24" s="273">
        <f>'3. Earnings Build'!CS156</f>
        <v>-272.41</v>
      </c>
      <c r="CT24" s="274">
        <f>SUM(CP24:CS24)</f>
        <v>-1144.434</v>
      </c>
      <c r="CU24" s="249"/>
      <c r="CV24" s="249"/>
      <c r="CW24" s="249"/>
      <c r="CX24" s="249"/>
      <c r="CY24" s="248"/>
      <c r="CZ24" s="249"/>
      <c r="DA24" s="249"/>
      <c r="DB24" s="249"/>
      <c r="DC24" s="249"/>
      <c r="DD24" s="248"/>
      <c r="DE24" s="249"/>
      <c r="DF24" s="249"/>
      <c r="DG24" s="249"/>
      <c r="DH24" s="249"/>
      <c r="DI24" s="248"/>
      <c r="DJ24" s="249"/>
      <c r="DK24" s="249"/>
      <c r="DL24" s="249"/>
      <c r="DM24" s="249"/>
      <c r="DN24" s="248"/>
      <c r="DO24" s="249"/>
      <c r="DP24" s="249"/>
      <c r="DQ24" s="249"/>
      <c r="DR24" s="249"/>
      <c r="DS24" s="248"/>
    </row>
    <row r="25" hidden="1" outlineLevel="1" spans="1:123">
      <c r="B25" s="277" t="s">
        <v>63</v>
      </c>
      <c r="C25" s="248"/>
      <c r="D25" s="249"/>
      <c r="E25" s="249"/>
      <c r="F25" s="249"/>
      <c r="G25" s="249"/>
      <c r="H25" s="248"/>
      <c r="I25" s="249"/>
      <c r="J25" s="249"/>
      <c r="K25" s="249"/>
      <c r="L25" s="249"/>
      <c r="M25" s="248"/>
      <c r="N25" s="249"/>
      <c r="O25" s="249"/>
      <c r="P25" s="249"/>
      <c r="Q25" s="249"/>
      <c r="R25" s="248"/>
      <c r="S25" s="249"/>
      <c r="T25" s="249"/>
      <c r="U25" s="249"/>
      <c r="V25" s="249"/>
      <c r="W25" s="248"/>
      <c r="X25" s="249"/>
      <c r="Y25" s="249"/>
      <c r="Z25" s="249"/>
      <c r="AA25" s="249"/>
      <c r="AB25" s="248"/>
      <c r="AC25" s="249"/>
      <c r="AD25" s="249"/>
      <c r="AE25" s="249"/>
      <c r="AF25" s="249"/>
      <c r="AG25" s="248"/>
      <c r="AH25" s="249"/>
      <c r="AI25" s="249"/>
      <c r="AJ25" s="249"/>
      <c r="AK25" s="249"/>
      <c r="AL25" s="248"/>
      <c r="AM25" s="249"/>
      <c r="AN25" s="249"/>
      <c r="AO25" s="249"/>
      <c r="AP25" s="249"/>
      <c r="AQ25" s="248"/>
      <c r="AR25" s="249"/>
      <c r="AS25" s="249"/>
      <c r="AT25" s="249"/>
      <c r="AU25" s="249"/>
      <c r="AV25" s="248"/>
      <c r="AW25" s="249"/>
      <c r="AX25" s="249"/>
      <c r="AY25" s="249"/>
      <c r="AZ25" s="249"/>
      <c r="BA25" s="248"/>
      <c r="BB25" s="249"/>
      <c r="BC25" s="249"/>
      <c r="BD25" s="249"/>
      <c r="BE25" s="249"/>
      <c r="BF25" s="248"/>
      <c r="BG25" s="249"/>
      <c r="BH25" s="249"/>
      <c r="BI25" s="249"/>
      <c r="BJ25" s="249"/>
      <c r="BK25" s="248"/>
      <c r="BL25" s="249"/>
      <c r="BM25" s="249"/>
      <c r="BN25" s="249"/>
      <c r="BO25" s="251"/>
      <c r="BP25" s="248"/>
      <c r="BQ25" s="249"/>
      <c r="BR25" s="249"/>
      <c r="BS25" s="249"/>
      <c r="BT25" s="249"/>
      <c r="BU25" s="248"/>
      <c r="BV25" s="249">
        <f>'3. Earnings Build'!BV157</f>
        <v>0</v>
      </c>
      <c r="BW25" s="249">
        <f>'3. Earnings Build'!BW157</f>
        <v>0</v>
      </c>
      <c r="BX25" s="249">
        <f>'3. Earnings Build'!BX157</f>
        <v>-0.007</v>
      </c>
      <c r="BY25" s="249">
        <f>'3. Earnings Build'!BY157</f>
        <v>0</v>
      </c>
      <c r="BZ25" s="248">
        <f>SUM(BV25:BY25)</f>
        <v>-0.007</v>
      </c>
      <c r="CA25" s="249">
        <f>'3. Earnings Build'!CA157</f>
        <v>0</v>
      </c>
      <c r="CB25" s="249">
        <f>'3. Earnings Build'!CB157</f>
        <v>0</v>
      </c>
      <c r="CC25" s="249">
        <f>'3. Earnings Build'!CC157</f>
        <v>-2.241</v>
      </c>
      <c r="CD25" s="249">
        <f>'3. Earnings Build'!CD157</f>
        <v>-2.195</v>
      </c>
      <c r="CE25" s="248">
        <f>SUM(CA25:CD25)</f>
        <v>-4.436</v>
      </c>
      <c r="CF25" s="249">
        <f>'3. Earnings Build'!CF157</f>
        <v>-2.195</v>
      </c>
      <c r="CG25" s="249">
        <f>'3. Earnings Build'!CG157</f>
        <v>-2.195</v>
      </c>
      <c r="CH25" s="249">
        <f>'3. Earnings Build'!CH157</f>
        <v>-2.195</v>
      </c>
      <c r="CI25" s="249">
        <f>'3. Earnings Build'!CI157</f>
        <v>-2.197</v>
      </c>
      <c r="CJ25" s="248">
        <f>SUM(CF25:CI25)</f>
        <v>-8.782</v>
      </c>
      <c r="CK25" s="249">
        <f>'3. Earnings Build'!CK157</f>
        <v>-2.195</v>
      </c>
      <c r="CL25" s="249">
        <f>'3. Earnings Build'!CL157</f>
        <v>-2.195</v>
      </c>
      <c r="CM25" s="249">
        <f>'3. Earnings Build'!CM157</f>
        <v>-2.189</v>
      </c>
      <c r="CN25" s="249">
        <f>'3. Earnings Build'!CN157</f>
        <v>-2.17299999999999</v>
      </c>
      <c r="CO25" s="248">
        <f>SUM(CK25:CN25)</f>
        <v>-8.75199999999999</v>
      </c>
      <c r="CP25" s="249">
        <f>'3. Earnings Build'!CP157</f>
        <v>-1.878</v>
      </c>
      <c r="CQ25" s="249">
        <f>'3. Earnings Build'!CQ157</f>
        <v>-1.879</v>
      </c>
      <c r="CR25" s="249">
        <f>'3. Earnings Build'!CR157</f>
        <v>-1.253</v>
      </c>
      <c r="CS25" s="273">
        <f>'3. Earnings Build'!CS157</f>
        <v>0</v>
      </c>
      <c r="CT25" s="274">
        <f>SUM(CP25:CS25)</f>
        <v>-5.01</v>
      </c>
      <c r="CU25" s="249"/>
      <c r="CV25" s="249"/>
      <c r="CW25" s="249"/>
      <c r="CX25" s="249"/>
      <c r="CY25" s="248"/>
      <c r="CZ25" s="249"/>
      <c r="DA25" s="249"/>
      <c r="DB25" s="249"/>
      <c r="DC25" s="249"/>
      <c r="DD25" s="248"/>
      <c r="DE25" s="249"/>
      <c r="DF25" s="249"/>
      <c r="DG25" s="249"/>
      <c r="DH25" s="249"/>
      <c r="DI25" s="248"/>
      <c r="DJ25" s="249"/>
      <c r="DK25" s="249"/>
      <c r="DL25" s="249"/>
      <c r="DM25" s="249"/>
      <c r="DN25" s="248"/>
      <c r="DO25" s="249"/>
      <c r="DP25" s="249"/>
      <c r="DQ25" s="249"/>
      <c r="DR25" s="249"/>
      <c r="DS25" s="248"/>
    </row>
    <row r="26" s="3" customFormat="1" hidden="1" outlineLevel="1" spans="1:123">
      <c r="A26" s="132"/>
      <c r="B26" s="425" t="s">
        <v>56</v>
      </c>
      <c r="C26" s="264">
        <f>'3. Earnings Build'!C158</f>
        <v>10.46</v>
      </c>
      <c r="D26" s="265"/>
      <c r="E26" s="265"/>
      <c r="F26" s="265"/>
      <c r="G26" s="265"/>
      <c r="H26" s="264">
        <f>'3. Earnings Build'!H158</f>
        <v>16.534374</v>
      </c>
      <c r="I26" s="265"/>
      <c r="J26" s="265"/>
      <c r="K26" s="265"/>
      <c r="L26" s="265"/>
      <c r="M26" s="264">
        <f>'3. Earnings Build'!M158</f>
        <v>23.441724</v>
      </c>
      <c r="N26" s="265">
        <f t="shared" ref="N26:AS26" si="21">N23+N24</f>
        <v>6.847</v>
      </c>
      <c r="O26" s="265">
        <f t="shared" si="21"/>
        <v>9.744</v>
      </c>
      <c r="P26" s="265">
        <f t="shared" si="21"/>
        <v>11.847</v>
      </c>
      <c r="Q26" s="265">
        <f t="shared" si="21"/>
        <v>21.662</v>
      </c>
      <c r="R26" s="264">
        <f t="shared" si="21"/>
        <v>50.1</v>
      </c>
      <c r="S26" s="265">
        <f t="shared" si="21"/>
        <v>11.721</v>
      </c>
      <c r="T26" s="265">
        <f t="shared" si="21"/>
        <v>15.542</v>
      </c>
      <c r="U26" s="265">
        <f t="shared" si="21"/>
        <v>13.055</v>
      </c>
      <c r="V26" s="265">
        <f t="shared" si="21"/>
        <v>20.482</v>
      </c>
      <c r="W26" s="264">
        <f t="shared" si="21"/>
        <v>60.8</v>
      </c>
      <c r="X26" s="265">
        <f t="shared" si="21"/>
        <v>9.853</v>
      </c>
      <c r="Y26" s="265">
        <f t="shared" si="21"/>
        <v>14.332</v>
      </c>
      <c r="Z26" s="265">
        <f t="shared" si="21"/>
        <v>20.926</v>
      </c>
      <c r="AA26" s="265">
        <f t="shared" si="21"/>
        <v>41.636</v>
      </c>
      <c r="AB26" s="264">
        <f t="shared" si="21"/>
        <v>86.747</v>
      </c>
      <c r="AC26" s="265">
        <f t="shared" si="21"/>
        <v>32.474</v>
      </c>
      <c r="AD26" s="265">
        <f t="shared" si="21"/>
        <v>34.243</v>
      </c>
      <c r="AE26" s="265">
        <f t="shared" si="21"/>
        <v>42.376</v>
      </c>
      <c r="AF26" s="265">
        <f t="shared" si="21"/>
        <v>71.329</v>
      </c>
      <c r="AG26" s="264">
        <f t="shared" si="21"/>
        <v>180.422</v>
      </c>
      <c r="AH26" s="265">
        <f t="shared" si="21"/>
        <v>51.687</v>
      </c>
      <c r="AI26" s="265">
        <f t="shared" si="21"/>
        <v>59.483</v>
      </c>
      <c r="AJ26" s="265">
        <f t="shared" si="21"/>
        <v>59.721</v>
      </c>
      <c r="AK26" s="265">
        <f t="shared" si="21"/>
        <v>116.076</v>
      </c>
      <c r="AL26" s="264">
        <f t="shared" si="21"/>
        <v>286.967</v>
      </c>
      <c r="AM26" s="265">
        <f t="shared" si="21"/>
        <v>73.065</v>
      </c>
      <c r="AN26" s="265">
        <f t="shared" si="21"/>
        <v>70.188</v>
      </c>
      <c r="AO26" s="265">
        <f t="shared" si="21"/>
        <v>80.611</v>
      </c>
      <c r="AP26" s="265">
        <f t="shared" si="21"/>
        <v>152.575</v>
      </c>
      <c r="AQ26" s="264">
        <f t="shared" si="21"/>
        <v>376.439</v>
      </c>
      <c r="AR26" s="265">
        <f t="shared" si="21"/>
        <v>65.889</v>
      </c>
      <c r="AS26" s="265">
        <f t="shared" si="21"/>
        <v>78.986</v>
      </c>
      <c r="AT26" s="265">
        <f t="shared" ref="AT26:BU26" si="22">AT23+AT24</f>
        <v>92.336</v>
      </c>
      <c r="AU26" s="265">
        <f t="shared" si="22"/>
        <v>154.147</v>
      </c>
      <c r="AV26" s="264">
        <f t="shared" si="22"/>
        <v>391.358</v>
      </c>
      <c r="AW26" s="265">
        <f t="shared" si="22"/>
        <v>69.801</v>
      </c>
      <c r="AX26" s="265">
        <f t="shared" si="22"/>
        <v>67.888</v>
      </c>
      <c r="AY26" s="265">
        <f t="shared" si="22"/>
        <v>81.156</v>
      </c>
      <c r="AZ26" s="265">
        <f t="shared" si="22"/>
        <v>157.188</v>
      </c>
      <c r="BA26" s="264">
        <f t="shared" si="22"/>
        <v>376.033</v>
      </c>
      <c r="BB26" s="265">
        <f t="shared" si="22"/>
        <v>68.036</v>
      </c>
      <c r="BC26" s="265">
        <f t="shared" si="22"/>
        <v>66.579</v>
      </c>
      <c r="BD26" s="265">
        <f t="shared" si="22"/>
        <v>68.178</v>
      </c>
      <c r="BE26" s="265">
        <f t="shared" si="22"/>
        <v>166.283</v>
      </c>
      <c r="BF26" s="264">
        <f t="shared" si="22"/>
        <v>369.076</v>
      </c>
      <c r="BG26" s="265">
        <f t="shared" si="22"/>
        <v>57.589</v>
      </c>
      <c r="BH26" s="265">
        <f t="shared" si="22"/>
        <v>73.959</v>
      </c>
      <c r="BI26" s="265">
        <f t="shared" si="22"/>
        <v>92.975</v>
      </c>
      <c r="BJ26" s="265">
        <f t="shared" si="22"/>
        <v>196.629</v>
      </c>
      <c r="BK26" s="264">
        <f t="shared" si="22"/>
        <v>421.152</v>
      </c>
      <c r="BL26" s="265">
        <f t="shared" si="22"/>
        <v>63.173</v>
      </c>
      <c r="BM26" s="265">
        <f t="shared" si="22"/>
        <v>74.142</v>
      </c>
      <c r="BN26" s="265">
        <f t="shared" si="22"/>
        <v>107.773</v>
      </c>
      <c r="BO26" s="265">
        <f t="shared" si="22"/>
        <v>258.136</v>
      </c>
      <c r="BP26" s="264">
        <f t="shared" si="22"/>
        <v>503.224</v>
      </c>
      <c r="BQ26" s="265">
        <f t="shared" si="22"/>
        <v>104.305</v>
      </c>
      <c r="BR26" s="265">
        <f t="shared" si="22"/>
        <v>134.208</v>
      </c>
      <c r="BS26" s="265">
        <f t="shared" si="22"/>
        <v>135.903</v>
      </c>
      <c r="BT26" s="265">
        <f t="shared" si="22"/>
        <v>331.45</v>
      </c>
      <c r="BU26" s="264">
        <f t="shared" si="22"/>
        <v>705.866</v>
      </c>
      <c r="BV26" s="265">
        <f>BV23+BV24+BV25</f>
        <v>128.812</v>
      </c>
      <c r="BW26" s="265">
        <f t="shared" ref="BW26:CT26" si="23">BW23+BW24+BW25</f>
        <v>167.982</v>
      </c>
      <c r="BX26" s="265">
        <f t="shared" si="23"/>
        <v>175.822</v>
      </c>
      <c r="BY26" s="265">
        <f t="shared" si="23"/>
        <v>416.487</v>
      </c>
      <c r="BZ26" s="264">
        <f t="shared" si="23"/>
        <v>889.103</v>
      </c>
      <c r="CA26" s="265">
        <f t="shared" si="23"/>
        <v>32.751</v>
      </c>
      <c r="CB26" s="265">
        <f t="shared" si="23"/>
        <v>135.873</v>
      </c>
      <c r="CC26" s="265">
        <f t="shared" si="23"/>
        <v>213.451</v>
      </c>
      <c r="CD26" s="265">
        <f t="shared" si="23"/>
        <v>465.708</v>
      </c>
      <c r="CE26" s="264">
        <f t="shared" si="23"/>
        <v>847.783</v>
      </c>
      <c r="CF26" s="265">
        <f t="shared" si="23"/>
        <v>201.485</v>
      </c>
      <c r="CG26" s="265">
        <f t="shared" si="23"/>
        <v>299.174</v>
      </c>
      <c r="CH26" s="265">
        <f t="shared" si="23"/>
        <v>282.074</v>
      </c>
      <c r="CI26" s="265">
        <f t="shared" si="23"/>
        <v>592.016</v>
      </c>
      <c r="CJ26" s="264">
        <f t="shared" si="23"/>
        <v>1374.749</v>
      </c>
      <c r="CK26" s="265">
        <f t="shared" si="23"/>
        <v>260.347</v>
      </c>
      <c r="CL26" s="265">
        <f t="shared" si="23"/>
        <v>391.028</v>
      </c>
      <c r="CM26" s="265">
        <f t="shared" si="23"/>
        <v>352.427</v>
      </c>
      <c r="CN26" s="265">
        <f t="shared" si="23"/>
        <v>785.267</v>
      </c>
      <c r="CO26" s="264">
        <f t="shared" si="23"/>
        <v>1789.069</v>
      </c>
      <c r="CP26" s="265">
        <f t="shared" si="23"/>
        <v>401.414</v>
      </c>
      <c r="CQ26" s="265">
        <f t="shared" si="23"/>
        <v>479.257</v>
      </c>
      <c r="CR26" s="265">
        <f t="shared" si="23"/>
        <v>436.325</v>
      </c>
      <c r="CS26" s="463">
        <f t="shared" si="23"/>
        <v>913.89</v>
      </c>
      <c r="CT26" s="464">
        <f t="shared" si="23"/>
        <v>2230.886</v>
      </c>
      <c r="CU26" s="265"/>
      <c r="CV26" s="265"/>
      <c r="CW26" s="265"/>
      <c r="CX26" s="265"/>
      <c r="CY26" s="264"/>
      <c r="CZ26" s="265"/>
      <c r="DA26" s="265"/>
      <c r="DB26" s="265"/>
      <c r="DC26" s="265"/>
      <c r="DD26" s="264"/>
      <c r="DE26" s="265"/>
      <c r="DF26" s="265"/>
      <c r="DG26" s="265"/>
      <c r="DH26" s="265"/>
      <c r="DI26" s="264"/>
      <c r="DJ26" s="265"/>
      <c r="DK26" s="265"/>
      <c r="DL26" s="265"/>
      <c r="DM26" s="265"/>
      <c r="DN26" s="264"/>
      <c r="DO26" s="265"/>
      <c r="DP26" s="265"/>
      <c r="DQ26" s="265"/>
      <c r="DR26" s="265"/>
      <c r="DS26" s="264"/>
    </row>
    <row r="27" hidden="1" outlineLevel="1" spans="1:123">
      <c r="B27" s="227"/>
      <c r="C27" s="124"/>
      <c r="H27" s="124"/>
      <c r="M27" s="124"/>
      <c r="R27" s="124"/>
      <c r="W27" s="124"/>
      <c r="AB27" s="124"/>
      <c r="AG27" s="124"/>
      <c r="AL27" s="124"/>
      <c r="AQ27" s="124"/>
      <c r="AV27" s="124"/>
      <c r="BA27" s="124"/>
      <c r="BF27" s="124"/>
      <c r="BK27" s="124"/>
      <c r="BP27" s="124"/>
      <c r="BU27" s="124"/>
      <c r="BZ27" s="124"/>
      <c r="CE27" s="124"/>
      <c r="CG27" s="513"/>
      <c r="CJ27" s="124"/>
      <c r="CK27" s="514"/>
      <c r="CM27" s="209"/>
      <c r="CN27" s="515"/>
      <c r="CO27" s="516"/>
      <c r="CT27" s="124"/>
      <c r="CY27" s="517"/>
      <c r="DD27" s="124"/>
      <c r="DI27" s="124"/>
      <c r="DN27" s="124"/>
      <c r="DS27" s="124"/>
    </row>
    <row r="28" s="88" customFormat="1" collapsed="1" spans="1:123">
      <c r="A28" s="125"/>
      <c r="B28" s="198" t="s">
        <v>57</v>
      </c>
      <c r="C28" s="124"/>
      <c r="D28" s="125"/>
      <c r="E28" s="125"/>
      <c r="F28" s="125"/>
      <c r="G28" s="125"/>
      <c r="H28" s="124"/>
      <c r="I28" s="125"/>
      <c r="J28" s="125"/>
      <c r="K28" s="125"/>
      <c r="L28" s="125"/>
      <c r="M28" s="124"/>
      <c r="N28" s="125"/>
      <c r="O28" s="125"/>
      <c r="P28" s="125"/>
      <c r="Q28" s="125"/>
      <c r="R28" s="124"/>
      <c r="S28" s="125"/>
      <c r="T28" s="125"/>
      <c r="U28" s="125"/>
      <c r="V28" s="125"/>
      <c r="W28" s="124"/>
      <c r="X28" s="125"/>
      <c r="Y28" s="125"/>
      <c r="Z28" s="125"/>
      <c r="AA28" s="125"/>
      <c r="AB28" s="124"/>
      <c r="AC28" s="125"/>
      <c r="AD28" s="125"/>
      <c r="AE28" s="125"/>
      <c r="AF28" s="125"/>
      <c r="AG28" s="124"/>
      <c r="AH28" s="125"/>
      <c r="AI28" s="125"/>
      <c r="AJ28" s="125"/>
      <c r="AK28" s="125"/>
      <c r="AL28" s="124"/>
      <c r="AM28" s="125"/>
      <c r="AN28" s="125"/>
      <c r="AO28" s="125"/>
      <c r="AP28" s="125"/>
      <c r="AQ28" s="124"/>
      <c r="AR28" s="125"/>
      <c r="AS28" s="125"/>
      <c r="AT28" s="125"/>
      <c r="AU28" s="125"/>
      <c r="AV28" s="124"/>
      <c r="AW28" s="125"/>
      <c r="AX28" s="125"/>
      <c r="AY28" s="125"/>
      <c r="AZ28" s="125"/>
      <c r="BA28" s="124"/>
      <c r="BB28" s="125"/>
      <c r="BC28" s="125"/>
      <c r="BD28" s="125"/>
      <c r="BE28" s="125"/>
      <c r="BF28" s="124"/>
      <c r="BG28" s="125"/>
      <c r="BH28" s="125"/>
      <c r="BI28" s="125"/>
      <c r="BJ28" s="125"/>
      <c r="BK28" s="124"/>
      <c r="BL28" s="125"/>
      <c r="BM28" s="125"/>
      <c r="BN28" s="125"/>
      <c r="BO28" s="125"/>
      <c r="BP28" s="124"/>
      <c r="BQ28" s="125"/>
      <c r="BR28" s="125"/>
      <c r="BS28" s="125"/>
      <c r="BT28" s="125"/>
      <c r="BU28" s="124"/>
      <c r="BV28" s="125"/>
      <c r="BW28" s="125"/>
      <c r="BX28" s="125"/>
      <c r="BY28" s="125"/>
      <c r="BZ28" s="124"/>
      <c r="CA28" s="125"/>
      <c r="CB28" s="125"/>
      <c r="CC28" s="125"/>
      <c r="CD28" s="125"/>
      <c r="CE28" s="124"/>
      <c r="CF28" s="125"/>
      <c r="CG28" s="348"/>
      <c r="CH28" s="125"/>
      <c r="CI28" s="125"/>
      <c r="CJ28" s="124"/>
      <c r="CK28" s="125"/>
      <c r="CL28" s="125"/>
      <c r="CM28" s="125"/>
      <c r="CN28" s="125"/>
      <c r="CO28" s="124">
        <f>'3. Earnings Build'!CO213</f>
        <v>2503.74</v>
      </c>
      <c r="CP28" s="125">
        <f>'3. Earnings Build'!CP213</f>
        <v>581.222</v>
      </c>
      <c r="CQ28" s="125">
        <f>'3. Earnings Build'!CQ213</f>
        <v>660.57</v>
      </c>
      <c r="CR28" s="125">
        <f>'3. Earnings Build'!CR213</f>
        <v>636.714</v>
      </c>
      <c r="CS28" s="125">
        <f>'3. Earnings Build'!CS213</f>
        <v>1058.678</v>
      </c>
      <c r="CT28" s="124">
        <f>'3. Earnings Build'!CT213</f>
        <v>2937.184</v>
      </c>
      <c r="CU28" s="125">
        <f>'3. Earnings Build'!CU213</f>
        <v>564.84</v>
      </c>
      <c r="CV28" s="125">
        <f>'3. Earnings Build'!CV213</f>
        <v>669.427</v>
      </c>
      <c r="CW28" s="125">
        <f>'3. Earnings Build'!CW213</f>
        <v>654.939</v>
      </c>
      <c r="CX28" s="125">
        <f>'3. Earnings Build'!CX213</f>
        <v>1126.351</v>
      </c>
      <c r="CY28" s="518">
        <f>'3. Earnings Build'!CY213</f>
        <v>3015.557</v>
      </c>
      <c r="CZ28" s="125">
        <f>'3. Earnings Build'!CZ213</f>
        <v>589.331</v>
      </c>
      <c r="DA28" s="125">
        <f>'3. Earnings Build'!DA213</f>
        <v>619.394</v>
      </c>
      <c r="DB28" s="125">
        <f>'3. Earnings Build'!DB213</f>
        <v>517.488</v>
      </c>
      <c r="DC28" s="125">
        <f>'3. Earnings Build'!DC213</f>
        <v>834.445</v>
      </c>
      <c r="DD28" s="124">
        <f>'3. Earnings Build'!DD213</f>
        <v>2560.658</v>
      </c>
      <c r="DE28" s="125">
        <f>'3. Earnings Build'!DE213</f>
        <v>408.48</v>
      </c>
      <c r="DF28" s="125">
        <f>'3. Earnings Build'!DF213</f>
        <v>594.413</v>
      </c>
      <c r="DG28" s="125"/>
      <c r="DH28" s="125"/>
      <c r="DI28" s="124"/>
      <c r="DJ28" s="125"/>
      <c r="DK28" s="125"/>
      <c r="DL28" s="125"/>
      <c r="DM28" s="125"/>
      <c r="DN28" s="124"/>
      <c r="DO28" s="125"/>
      <c r="DP28" s="125"/>
      <c r="DQ28" s="125"/>
      <c r="DR28" s="125"/>
      <c r="DS28" s="124"/>
    </row>
    <row r="29" s="88" customFormat="1" spans="1:123">
      <c r="A29" s="125"/>
      <c r="B29" s="198" t="s">
        <v>58</v>
      </c>
      <c r="C29" s="124"/>
      <c r="D29" s="125"/>
      <c r="E29" s="125"/>
      <c r="F29" s="125"/>
      <c r="G29" s="125"/>
      <c r="H29" s="124"/>
      <c r="I29" s="125"/>
      <c r="J29" s="125"/>
      <c r="K29" s="125"/>
      <c r="L29" s="125"/>
      <c r="M29" s="124"/>
      <c r="N29" s="125"/>
      <c r="O29" s="125"/>
      <c r="P29" s="125"/>
      <c r="Q29" s="125"/>
      <c r="R29" s="124"/>
      <c r="S29" s="125"/>
      <c r="T29" s="125"/>
      <c r="U29" s="125"/>
      <c r="V29" s="125"/>
      <c r="W29" s="124"/>
      <c r="X29" s="125"/>
      <c r="Y29" s="125"/>
      <c r="Z29" s="125"/>
      <c r="AA29" s="125"/>
      <c r="AB29" s="124"/>
      <c r="AC29" s="125"/>
      <c r="AD29" s="125"/>
      <c r="AE29" s="125"/>
      <c r="AF29" s="125"/>
      <c r="AG29" s="124"/>
      <c r="AH29" s="125"/>
      <c r="AI29" s="125"/>
      <c r="AJ29" s="125"/>
      <c r="AK29" s="125"/>
      <c r="AL29" s="124"/>
      <c r="AM29" s="125"/>
      <c r="AN29" s="125"/>
      <c r="AO29" s="125"/>
      <c r="AP29" s="125"/>
      <c r="AQ29" s="124"/>
      <c r="AR29" s="125"/>
      <c r="AS29" s="125"/>
      <c r="AT29" s="125"/>
      <c r="AU29" s="125"/>
      <c r="AV29" s="124"/>
      <c r="AW29" s="125"/>
      <c r="AX29" s="125"/>
      <c r="AY29" s="125"/>
      <c r="AZ29" s="125"/>
      <c r="BA29" s="124"/>
      <c r="BB29" s="125"/>
      <c r="BC29" s="125"/>
      <c r="BD29" s="125"/>
      <c r="BE29" s="125"/>
      <c r="BF29" s="124"/>
      <c r="BG29" s="125"/>
      <c r="BH29" s="125"/>
      <c r="BI29" s="125"/>
      <c r="BJ29" s="125"/>
      <c r="BK29" s="124"/>
      <c r="BL29" s="125"/>
      <c r="BM29" s="125"/>
      <c r="BN29" s="125"/>
      <c r="BO29" s="125"/>
      <c r="BP29" s="124"/>
      <c r="BQ29" s="125"/>
      <c r="BR29" s="125"/>
      <c r="BS29" s="125"/>
      <c r="BT29" s="125"/>
      <c r="BU29" s="124"/>
      <c r="BV29" s="125"/>
      <c r="BW29" s="125"/>
      <c r="BX29" s="125"/>
      <c r="BY29" s="125"/>
      <c r="BZ29" s="124"/>
      <c r="CA29" s="125"/>
      <c r="CB29" s="125"/>
      <c r="CC29" s="125"/>
      <c r="CD29" s="125"/>
      <c r="CE29" s="124"/>
      <c r="CF29" s="125"/>
      <c r="CG29" s="348"/>
      <c r="CH29" s="125"/>
      <c r="CI29" s="125"/>
      <c r="CJ29" s="124"/>
      <c r="CK29" s="125"/>
      <c r="CL29" s="125"/>
      <c r="CM29" s="125"/>
      <c r="CN29" s="125"/>
      <c r="CO29" s="124">
        <f>'3. Earnings Build'!CO272</f>
        <v>196.865</v>
      </c>
      <c r="CP29" s="125">
        <f>'3. Earnings Build'!CP272</f>
        <v>73.885</v>
      </c>
      <c r="CQ29" s="125">
        <f>'3. Earnings Build'!CQ272</f>
        <v>83.481</v>
      </c>
      <c r="CR29" s="125">
        <f>'3. Earnings Build'!CR272</f>
        <v>76.792</v>
      </c>
      <c r="CS29" s="125">
        <f>'3. Earnings Build'!CS272</f>
        <v>103.158</v>
      </c>
      <c r="CT29" s="124">
        <f>'3. Earnings Build'!CT272</f>
        <v>337.316</v>
      </c>
      <c r="CU29" s="125">
        <f>'3. Earnings Build'!CU272</f>
        <v>119.778</v>
      </c>
      <c r="CV29" s="125">
        <f>'3. Earnings Build'!CV272</f>
        <v>119.085</v>
      </c>
      <c r="CW29" s="125">
        <f>'3. Earnings Build'!CW272</f>
        <v>110.6</v>
      </c>
      <c r="CX29" s="125">
        <f>'3. Earnings Build'!CX272</f>
        <v>160.396</v>
      </c>
      <c r="CY29" s="518">
        <f>'3. Earnings Build'!CY272</f>
        <v>509.859</v>
      </c>
      <c r="CZ29" s="125">
        <f>'3. Earnings Build'!CZ272</f>
        <v>153.635</v>
      </c>
      <c r="DA29" s="125">
        <f>'3. Earnings Build'!DA272</f>
        <v>152.49</v>
      </c>
      <c r="DB29" s="125">
        <f>'3. Earnings Build'!DB272</f>
        <v>173.016</v>
      </c>
      <c r="DC29" s="125">
        <f>'3. Earnings Build'!DC272</f>
        <v>221.982</v>
      </c>
      <c r="DD29" s="124">
        <f>'3. Earnings Build'!DD272</f>
        <v>701.123</v>
      </c>
      <c r="DE29" s="125">
        <f>'3. Earnings Build'!DE272</f>
        <v>203.069</v>
      </c>
      <c r="DF29" s="125">
        <f>'3. Earnings Build'!DF272</f>
        <v>151.27</v>
      </c>
      <c r="DG29" s="125"/>
      <c r="DH29" s="125"/>
      <c r="DI29" s="124"/>
      <c r="DJ29" s="125"/>
      <c r="DK29" s="125"/>
      <c r="DL29" s="125"/>
      <c r="DM29" s="125"/>
      <c r="DN29" s="124"/>
      <c r="DO29" s="125"/>
      <c r="DP29" s="125"/>
      <c r="DQ29" s="125"/>
      <c r="DR29" s="125"/>
      <c r="DS29" s="124"/>
    </row>
    <row r="30" s="88" customFormat="1" spans="1:123">
      <c r="A30" s="125"/>
      <c r="B30" s="198" t="s">
        <v>59</v>
      </c>
      <c r="C30" s="124"/>
      <c r="D30" s="125"/>
      <c r="E30" s="125"/>
      <c r="F30" s="125"/>
      <c r="G30" s="125"/>
      <c r="H30" s="124"/>
      <c r="I30" s="125"/>
      <c r="J30" s="125"/>
      <c r="K30" s="125"/>
      <c r="L30" s="125"/>
      <c r="M30" s="124"/>
      <c r="N30" s="125"/>
      <c r="O30" s="125"/>
      <c r="P30" s="125"/>
      <c r="Q30" s="125"/>
      <c r="R30" s="124"/>
      <c r="S30" s="125"/>
      <c r="T30" s="125"/>
      <c r="U30" s="125"/>
      <c r="V30" s="125"/>
      <c r="W30" s="124"/>
      <c r="X30" s="125"/>
      <c r="Y30" s="125"/>
      <c r="Z30" s="125"/>
      <c r="AA30" s="125"/>
      <c r="AB30" s="124"/>
      <c r="AC30" s="125"/>
      <c r="AD30" s="125"/>
      <c r="AE30" s="125"/>
      <c r="AF30" s="125"/>
      <c r="AG30" s="124"/>
      <c r="AH30" s="125"/>
      <c r="AI30" s="125"/>
      <c r="AJ30" s="125"/>
      <c r="AK30" s="125"/>
      <c r="AL30" s="124"/>
      <c r="AM30" s="125"/>
      <c r="AN30" s="125"/>
      <c r="AO30" s="125"/>
      <c r="AP30" s="125"/>
      <c r="AQ30" s="124"/>
      <c r="AR30" s="125"/>
      <c r="AS30" s="125"/>
      <c r="AT30" s="125"/>
      <c r="AU30" s="125"/>
      <c r="AV30" s="124"/>
      <c r="AW30" s="125"/>
      <c r="AX30" s="125"/>
      <c r="AY30" s="125"/>
      <c r="AZ30" s="125"/>
      <c r="BA30" s="124"/>
      <c r="BB30" s="125"/>
      <c r="BC30" s="125"/>
      <c r="BD30" s="125"/>
      <c r="BE30" s="125"/>
      <c r="BF30" s="124"/>
      <c r="BG30" s="125"/>
      <c r="BH30" s="125"/>
      <c r="BI30" s="125"/>
      <c r="BJ30" s="125"/>
      <c r="BK30" s="124"/>
      <c r="BL30" s="125"/>
      <c r="BM30" s="125"/>
      <c r="BN30" s="125"/>
      <c r="BO30" s="125"/>
      <c r="BP30" s="124"/>
      <c r="BQ30" s="125"/>
      <c r="BR30" s="125"/>
      <c r="BS30" s="125"/>
      <c r="BT30" s="125"/>
      <c r="BU30" s="124"/>
      <c r="BV30" s="125"/>
      <c r="BW30" s="125"/>
      <c r="BX30" s="125"/>
      <c r="BY30" s="125"/>
      <c r="BZ30" s="124"/>
      <c r="CA30" s="125"/>
      <c r="CB30" s="125"/>
      <c r="CC30" s="125"/>
      <c r="CD30" s="125"/>
      <c r="CE30" s="124"/>
      <c r="CF30" s="125"/>
      <c r="CG30" s="348"/>
      <c r="CH30" s="125"/>
      <c r="CI30" s="125"/>
      <c r="CJ30" s="124"/>
      <c r="CK30" s="125"/>
      <c r="CL30" s="125"/>
      <c r="CM30" s="125"/>
      <c r="CN30" s="125"/>
      <c r="CO30" s="124">
        <f>'3. Earnings Build'!CO351</f>
        <v>103.204</v>
      </c>
      <c r="CP30" s="125">
        <f>'3. Earnings Build'!CP351</f>
        <v>43.794</v>
      </c>
      <c r="CQ30" s="125">
        <f>'3. Earnings Build'!CQ351</f>
        <v>51.292</v>
      </c>
      <c r="CR30" s="125">
        <f>'3. Earnings Build'!CR351</f>
        <v>45.552</v>
      </c>
      <c r="CS30" s="125">
        <f>'3. Earnings Build'!CS351</f>
        <v>61.194</v>
      </c>
      <c r="CT30" s="124">
        <f>'3. Earnings Build'!CT351</f>
        <v>201.832</v>
      </c>
      <c r="CU30" s="125">
        <f>'3. Earnings Build'!CU351</f>
        <v>66.681</v>
      </c>
      <c r="CV30" s="125">
        <f>'3. Earnings Build'!CV351</f>
        <v>74</v>
      </c>
      <c r="CW30" s="125">
        <f>'3. Earnings Build'!CW351</f>
        <v>68.762</v>
      </c>
      <c r="CX30" s="125">
        <f>'3. Earnings Build'!CX351</f>
        <v>105.503</v>
      </c>
      <c r="CY30" s="518">
        <f>'3. Earnings Build'!CY351</f>
        <v>314.946</v>
      </c>
      <c r="CZ30" s="125">
        <f>'3. Earnings Build'!CZ351</f>
        <v>72.856</v>
      </c>
      <c r="DA30" s="125">
        <f>'3. Earnings Build'!DA351</f>
        <v>81.243</v>
      </c>
      <c r="DB30" s="125">
        <f>'3. Earnings Build'!DB351</f>
        <v>84.957</v>
      </c>
      <c r="DC30" s="125">
        <f>'3. Earnings Build'!DC351</f>
        <v>106.845</v>
      </c>
      <c r="DD30" s="124">
        <f>'3. Earnings Build'!DD351</f>
        <v>345.901</v>
      </c>
      <c r="DE30" s="125">
        <f>'3. Earnings Build'!DE351</f>
        <v>69.423</v>
      </c>
      <c r="DF30" s="125">
        <f>'3. Earnings Build'!DF351</f>
        <v>74.973</v>
      </c>
      <c r="DG30" s="125"/>
      <c r="DH30" s="125"/>
      <c r="DI30" s="124"/>
      <c r="DJ30" s="125"/>
      <c r="DK30" s="125"/>
      <c r="DL30" s="125"/>
      <c r="DM30" s="125"/>
      <c r="DN30" s="124"/>
      <c r="DO30" s="125"/>
      <c r="DP30" s="125"/>
      <c r="DQ30" s="125"/>
      <c r="DR30" s="125"/>
      <c r="DS30" s="124"/>
    </row>
    <row r="31" s="89" customFormat="1" spans="1:123">
      <c r="A31" s="132"/>
      <c r="B31" s="227" t="s">
        <v>64</v>
      </c>
      <c r="C31" s="131"/>
      <c r="D31" s="132"/>
      <c r="E31" s="132"/>
      <c r="F31" s="132"/>
      <c r="G31" s="132"/>
      <c r="H31" s="131"/>
      <c r="I31" s="132"/>
      <c r="J31" s="132"/>
      <c r="K31" s="132"/>
      <c r="L31" s="132"/>
      <c r="M31" s="131"/>
      <c r="N31" s="132"/>
      <c r="O31" s="132"/>
      <c r="P31" s="132"/>
      <c r="Q31" s="132"/>
      <c r="R31" s="131"/>
      <c r="S31" s="132"/>
      <c r="T31" s="132"/>
      <c r="U31" s="132"/>
      <c r="V31" s="132"/>
      <c r="W31" s="131"/>
      <c r="X31" s="132"/>
      <c r="Y31" s="132"/>
      <c r="Z31" s="132"/>
      <c r="AA31" s="132"/>
      <c r="AB31" s="131"/>
      <c r="AC31" s="132"/>
      <c r="AD31" s="132"/>
      <c r="AE31" s="132"/>
      <c r="AF31" s="132"/>
      <c r="AG31" s="131"/>
      <c r="AH31" s="132"/>
      <c r="AI31" s="132"/>
      <c r="AJ31" s="132"/>
      <c r="AK31" s="132"/>
      <c r="AL31" s="131"/>
      <c r="AM31" s="132"/>
      <c r="AN31" s="132"/>
      <c r="AO31" s="132"/>
      <c r="AP31" s="132"/>
      <c r="AQ31" s="131"/>
      <c r="AR31" s="132"/>
      <c r="AS31" s="132"/>
      <c r="AT31" s="132"/>
      <c r="AU31" s="132"/>
      <c r="AV31" s="131"/>
      <c r="AW31" s="132"/>
      <c r="AX31" s="132"/>
      <c r="AY31" s="132"/>
      <c r="AZ31" s="132"/>
      <c r="BA31" s="131"/>
      <c r="BB31" s="132"/>
      <c r="BC31" s="132"/>
      <c r="BD31" s="132"/>
      <c r="BE31" s="132"/>
      <c r="BF31" s="131"/>
      <c r="BG31" s="132"/>
      <c r="BH31" s="132"/>
      <c r="BI31" s="132"/>
      <c r="BJ31" s="132"/>
      <c r="BK31" s="131"/>
      <c r="BL31" s="132"/>
      <c r="BM31" s="132"/>
      <c r="BN31" s="132"/>
      <c r="BO31" s="132"/>
      <c r="BP31" s="131"/>
      <c r="BQ31" s="132"/>
      <c r="BR31" s="132"/>
      <c r="BS31" s="132"/>
      <c r="BT31" s="132"/>
      <c r="BU31" s="131"/>
      <c r="BV31" s="132"/>
      <c r="BW31" s="132"/>
      <c r="BX31" s="132"/>
      <c r="BY31" s="132"/>
      <c r="BZ31" s="131"/>
      <c r="CA31" s="132"/>
      <c r="CB31" s="132"/>
      <c r="CC31" s="132"/>
      <c r="CD31" s="132"/>
      <c r="CE31" s="131"/>
      <c r="CF31" s="132"/>
      <c r="CG31" s="511"/>
      <c r="CH31" s="132"/>
      <c r="CI31" s="132"/>
      <c r="CJ31" s="131"/>
      <c r="CK31" s="132"/>
      <c r="CL31" s="132"/>
      <c r="CM31" s="132"/>
      <c r="CN31" s="132"/>
      <c r="CO31" s="131">
        <f>CO28+CO29+CO30</f>
        <v>2803.809</v>
      </c>
      <c r="CP31" s="132">
        <f t="shared" ref="CP31:DF31" si="24">CP28+CP29+CP30</f>
        <v>698.901</v>
      </c>
      <c r="CQ31" s="132">
        <f t="shared" si="24"/>
        <v>795.343</v>
      </c>
      <c r="CR31" s="132">
        <f t="shared" si="24"/>
        <v>759.058</v>
      </c>
      <c r="CS31" s="132">
        <f t="shared" si="24"/>
        <v>1223.03</v>
      </c>
      <c r="CT31" s="131">
        <f t="shared" si="24"/>
        <v>3476.332</v>
      </c>
      <c r="CU31" s="132">
        <f t="shared" si="24"/>
        <v>751.299</v>
      </c>
      <c r="CV31" s="132">
        <f t="shared" si="24"/>
        <v>862.512</v>
      </c>
      <c r="CW31" s="132">
        <f t="shared" si="24"/>
        <v>834.301</v>
      </c>
      <c r="CX31" s="132">
        <f t="shared" si="24"/>
        <v>1392.25</v>
      </c>
      <c r="CY31" s="519">
        <f t="shared" si="24"/>
        <v>3840.362</v>
      </c>
      <c r="CZ31" s="132">
        <f t="shared" si="24"/>
        <v>815.822</v>
      </c>
      <c r="DA31" s="132">
        <f t="shared" si="24"/>
        <v>853.127</v>
      </c>
      <c r="DB31" s="132">
        <f t="shared" si="24"/>
        <v>775.461</v>
      </c>
      <c r="DC31" s="132">
        <f t="shared" si="24"/>
        <v>1163.272</v>
      </c>
      <c r="DD31" s="131">
        <f t="shared" si="24"/>
        <v>3607.682</v>
      </c>
      <c r="DE31" s="132">
        <f t="shared" si="24"/>
        <v>680.972</v>
      </c>
      <c r="DF31" s="132">
        <f t="shared" si="24"/>
        <v>820.656</v>
      </c>
      <c r="DG31" s="132"/>
      <c r="DH31" s="132"/>
      <c r="DI31" s="131"/>
      <c r="DJ31" s="132"/>
      <c r="DK31" s="132"/>
      <c r="DL31" s="132"/>
      <c r="DM31" s="132"/>
      <c r="DN31" s="131"/>
      <c r="DO31" s="132"/>
      <c r="DP31" s="132"/>
      <c r="DQ31" s="132"/>
      <c r="DR31" s="132"/>
      <c r="DS31" s="131"/>
    </row>
    <row r="32" s="88" customFormat="1" spans="1:123">
      <c r="A32" s="125"/>
      <c r="B32" s="198" t="s">
        <v>65</v>
      </c>
      <c r="C32" s="124"/>
      <c r="D32" s="125"/>
      <c r="E32" s="125"/>
      <c r="F32" s="125"/>
      <c r="G32" s="125"/>
      <c r="H32" s="124"/>
      <c r="I32" s="125"/>
      <c r="J32" s="125"/>
      <c r="K32" s="125"/>
      <c r="L32" s="125"/>
      <c r="M32" s="124"/>
      <c r="N32" s="125"/>
      <c r="O32" s="125"/>
      <c r="P32" s="125"/>
      <c r="Q32" s="125"/>
      <c r="R32" s="124"/>
      <c r="S32" s="125"/>
      <c r="T32" s="125"/>
      <c r="U32" s="125"/>
      <c r="V32" s="125"/>
      <c r="W32" s="124"/>
      <c r="X32" s="125"/>
      <c r="Y32" s="125"/>
      <c r="Z32" s="125"/>
      <c r="AA32" s="125"/>
      <c r="AB32" s="124"/>
      <c r="AC32" s="125"/>
      <c r="AD32" s="125"/>
      <c r="AE32" s="125"/>
      <c r="AF32" s="125"/>
      <c r="AG32" s="124"/>
      <c r="AH32" s="125"/>
      <c r="AI32" s="125"/>
      <c r="AJ32" s="125"/>
      <c r="AK32" s="125"/>
      <c r="AL32" s="124"/>
      <c r="AM32" s="125"/>
      <c r="AN32" s="125"/>
      <c r="AO32" s="125"/>
      <c r="AP32" s="125"/>
      <c r="AQ32" s="124"/>
      <c r="AR32" s="125"/>
      <c r="AS32" s="125"/>
      <c r="AT32" s="125"/>
      <c r="AU32" s="125"/>
      <c r="AV32" s="124"/>
      <c r="AW32" s="125"/>
      <c r="AX32" s="125"/>
      <c r="AY32" s="125"/>
      <c r="AZ32" s="125"/>
      <c r="BA32" s="124"/>
      <c r="BB32" s="125"/>
      <c r="BC32" s="125"/>
      <c r="BD32" s="125"/>
      <c r="BE32" s="125"/>
      <c r="BF32" s="124"/>
      <c r="BG32" s="125"/>
      <c r="BH32" s="125"/>
      <c r="BI32" s="125"/>
      <c r="BJ32" s="125"/>
      <c r="BK32" s="124"/>
      <c r="BL32" s="125"/>
      <c r="BM32" s="125"/>
      <c r="BN32" s="125"/>
      <c r="BO32" s="125"/>
      <c r="BP32" s="124"/>
      <c r="BQ32" s="125"/>
      <c r="BR32" s="125"/>
      <c r="BS32" s="125"/>
      <c r="BT32" s="125"/>
      <c r="BU32" s="124"/>
      <c r="BV32" s="125"/>
      <c r="BW32" s="125"/>
      <c r="BX32" s="125"/>
      <c r="BY32" s="125"/>
      <c r="BZ32" s="124"/>
      <c r="CA32" s="125"/>
      <c r="CB32" s="125"/>
      <c r="CC32" s="125"/>
      <c r="CD32" s="125"/>
      <c r="CE32" s="124"/>
      <c r="CF32" s="125"/>
      <c r="CG32" s="348"/>
      <c r="CH32" s="125"/>
      <c r="CI32" s="125"/>
      <c r="CJ32" s="124"/>
      <c r="CK32" s="125"/>
      <c r="CL32" s="125"/>
      <c r="CM32" s="125"/>
      <c r="CN32" s="125"/>
      <c r="CO32" s="124">
        <f>'3. Earnings Build'!CO373</f>
        <v>-1014.74</v>
      </c>
      <c r="CP32" s="125">
        <f>'3. Earnings Build'!CP373</f>
        <v>-297.487</v>
      </c>
      <c r="CQ32" s="125">
        <f>'3. Earnings Build'!CQ373</f>
        <v>-316.086</v>
      </c>
      <c r="CR32" s="125">
        <f>'3. Earnings Build'!CR373</f>
        <v>-322.733</v>
      </c>
      <c r="CS32" s="125">
        <f>'3. Earnings Build'!CS373</f>
        <v>-309.14</v>
      </c>
      <c r="CT32" s="124">
        <f>'3. Earnings Build'!CT373</f>
        <v>-1245.446</v>
      </c>
      <c r="CU32" s="125">
        <f>'3. Earnings Build'!CU373</f>
        <v>-318.657</v>
      </c>
      <c r="CV32" s="125">
        <f>'3. Earnings Build'!CV373</f>
        <v>-322.286</v>
      </c>
      <c r="CW32" s="125">
        <f>'3. Earnings Build'!CW373</f>
        <v>-343.64</v>
      </c>
      <c r="CX32" s="125">
        <f>'3. Earnings Build'!CX373</f>
        <v>-350.082</v>
      </c>
      <c r="CY32" s="518">
        <f>'3. Earnings Build'!CY373</f>
        <v>-1334.665</v>
      </c>
      <c r="CZ32" s="125">
        <f>'3. Earnings Build'!CZ373</f>
        <v>-377.197</v>
      </c>
      <c r="DA32" s="125">
        <f>'3. Earnings Build'!DA373</f>
        <v>-329.313</v>
      </c>
      <c r="DB32" s="125">
        <f>'3. Earnings Build'!DB373</f>
        <v>-339.575</v>
      </c>
      <c r="DC32" s="125">
        <f>'3. Earnings Build'!DC373</f>
        <v>-350.982</v>
      </c>
      <c r="DD32" s="124">
        <f>'3. Earnings Build'!DD373</f>
        <v>-1397.067</v>
      </c>
      <c r="DE32" s="125">
        <f>'3. Earnings Build'!DE373</f>
        <v>-404.026</v>
      </c>
      <c r="DF32" s="125">
        <f>'3. Earnings Build'!DF373</f>
        <v>-367.003</v>
      </c>
      <c r="DG32" s="125"/>
      <c r="DH32" s="125"/>
      <c r="DI32" s="124"/>
      <c r="DJ32" s="125"/>
      <c r="DK32" s="125"/>
      <c r="DL32" s="125"/>
      <c r="DM32" s="125"/>
      <c r="DN32" s="124"/>
      <c r="DO32" s="125"/>
      <c r="DP32" s="125"/>
      <c r="DQ32" s="125"/>
      <c r="DR32" s="125"/>
      <c r="DS32" s="124"/>
    </row>
    <row r="33" s="89" customFormat="1" spans="1:123">
      <c r="A33" s="132"/>
      <c r="B33" s="227" t="s">
        <v>66</v>
      </c>
      <c r="C33" s="131"/>
      <c r="D33" s="132"/>
      <c r="E33" s="132"/>
      <c r="F33" s="132"/>
      <c r="G33" s="132"/>
      <c r="H33" s="131"/>
      <c r="I33" s="132"/>
      <c r="J33" s="132"/>
      <c r="K33" s="132"/>
      <c r="L33" s="132"/>
      <c r="M33" s="131"/>
      <c r="N33" s="132"/>
      <c r="O33" s="132"/>
      <c r="P33" s="132"/>
      <c r="Q33" s="132"/>
      <c r="R33" s="131"/>
      <c r="S33" s="132"/>
      <c r="T33" s="132"/>
      <c r="U33" s="132"/>
      <c r="V33" s="132"/>
      <c r="W33" s="131"/>
      <c r="X33" s="132"/>
      <c r="Y33" s="132"/>
      <c r="Z33" s="132"/>
      <c r="AA33" s="132"/>
      <c r="AB33" s="131"/>
      <c r="AC33" s="132"/>
      <c r="AD33" s="132"/>
      <c r="AE33" s="132"/>
      <c r="AF33" s="132"/>
      <c r="AG33" s="131"/>
      <c r="AH33" s="132"/>
      <c r="AI33" s="132"/>
      <c r="AJ33" s="132"/>
      <c r="AK33" s="132"/>
      <c r="AL33" s="131"/>
      <c r="AM33" s="132"/>
      <c r="AN33" s="132"/>
      <c r="AO33" s="132"/>
      <c r="AP33" s="132"/>
      <c r="AQ33" s="131"/>
      <c r="AR33" s="132"/>
      <c r="AS33" s="132"/>
      <c r="AT33" s="132"/>
      <c r="AU33" s="132"/>
      <c r="AV33" s="131"/>
      <c r="AW33" s="132"/>
      <c r="AX33" s="132"/>
      <c r="AY33" s="132"/>
      <c r="AZ33" s="132"/>
      <c r="BA33" s="131"/>
      <c r="BB33" s="132"/>
      <c r="BC33" s="132"/>
      <c r="BD33" s="132"/>
      <c r="BE33" s="132"/>
      <c r="BF33" s="131"/>
      <c r="BG33" s="132"/>
      <c r="BH33" s="132"/>
      <c r="BI33" s="132"/>
      <c r="BJ33" s="132"/>
      <c r="BK33" s="131"/>
      <c r="BL33" s="132"/>
      <c r="BM33" s="132"/>
      <c r="BN33" s="132"/>
      <c r="BO33" s="132"/>
      <c r="BP33" s="131"/>
      <c r="BQ33" s="132"/>
      <c r="BR33" s="132"/>
      <c r="BS33" s="132"/>
      <c r="BT33" s="132"/>
      <c r="BU33" s="131"/>
      <c r="BV33" s="132"/>
      <c r="BW33" s="132"/>
      <c r="BX33" s="132"/>
      <c r="BY33" s="132"/>
      <c r="BZ33" s="131"/>
      <c r="CA33" s="132"/>
      <c r="CB33" s="132"/>
      <c r="CC33" s="132"/>
      <c r="CD33" s="132"/>
      <c r="CE33" s="131"/>
      <c r="CF33" s="132"/>
      <c r="CG33" s="511"/>
      <c r="CH33" s="132"/>
      <c r="CI33" s="132"/>
      <c r="CJ33" s="131"/>
      <c r="CK33" s="132"/>
      <c r="CL33" s="132"/>
      <c r="CM33" s="132"/>
      <c r="CN33" s="132"/>
      <c r="CO33" s="131">
        <f>CO31+CO32</f>
        <v>1789.069</v>
      </c>
      <c r="CP33" s="132">
        <f t="shared" ref="CP33:DF33" si="25">CP31+CP32</f>
        <v>401.414</v>
      </c>
      <c r="CQ33" s="132">
        <f t="shared" si="25"/>
        <v>479.257</v>
      </c>
      <c r="CR33" s="132">
        <f t="shared" si="25"/>
        <v>436.325</v>
      </c>
      <c r="CS33" s="132">
        <f t="shared" si="25"/>
        <v>913.89</v>
      </c>
      <c r="CT33" s="131">
        <f t="shared" si="25"/>
        <v>2230.886</v>
      </c>
      <c r="CU33" s="132">
        <f t="shared" si="25"/>
        <v>432.642</v>
      </c>
      <c r="CV33" s="132">
        <f t="shared" si="25"/>
        <v>540.226</v>
      </c>
      <c r="CW33" s="132">
        <f t="shared" si="25"/>
        <v>490.661</v>
      </c>
      <c r="CX33" s="132">
        <f t="shared" si="25"/>
        <v>1042.168</v>
      </c>
      <c r="CY33" s="519">
        <f t="shared" si="25"/>
        <v>2505.697</v>
      </c>
      <c r="CZ33" s="132">
        <f t="shared" si="25"/>
        <v>438.625</v>
      </c>
      <c r="DA33" s="132">
        <f t="shared" si="25"/>
        <v>523.814</v>
      </c>
      <c r="DB33" s="132">
        <f t="shared" si="25"/>
        <v>435.886</v>
      </c>
      <c r="DC33" s="132">
        <f t="shared" si="25"/>
        <v>812.29</v>
      </c>
      <c r="DD33" s="131">
        <f t="shared" si="25"/>
        <v>2210.615</v>
      </c>
      <c r="DE33" s="132">
        <f t="shared" si="25"/>
        <v>276.946</v>
      </c>
      <c r="DF33" s="132">
        <f t="shared" si="25"/>
        <v>453.653</v>
      </c>
      <c r="DG33" s="132"/>
      <c r="DH33" s="132"/>
      <c r="DI33" s="131"/>
      <c r="DJ33" s="132"/>
      <c r="DK33" s="132"/>
      <c r="DL33" s="132"/>
      <c r="DM33" s="132"/>
      <c r="DN33" s="131"/>
      <c r="DO33" s="132"/>
      <c r="DP33" s="132"/>
      <c r="DQ33" s="132"/>
      <c r="DR33" s="132"/>
      <c r="DS33" s="131"/>
    </row>
    <row r="34" spans="1:123">
      <c r="B34" s="198"/>
      <c r="C34" s="124"/>
      <c r="H34" s="124"/>
      <c r="M34" s="124"/>
      <c r="R34" s="124"/>
      <c r="W34" s="124"/>
      <c r="AB34" s="124"/>
      <c r="AG34" s="124"/>
      <c r="AL34" s="124"/>
      <c r="AQ34" s="124"/>
      <c r="AV34" s="124"/>
      <c r="BA34" s="124"/>
      <c r="BF34" s="124"/>
      <c r="BK34" s="124"/>
      <c r="BP34" s="124"/>
      <c r="BU34" s="124"/>
      <c r="BZ34" s="124"/>
      <c r="CE34" s="124"/>
      <c r="CG34" s="513"/>
      <c r="CJ34" s="124"/>
      <c r="CK34" s="514"/>
      <c r="CM34" s="209"/>
      <c r="CN34" s="515"/>
      <c r="CO34" s="516"/>
      <c r="CT34" s="124"/>
      <c r="CY34" s="517"/>
      <c r="DD34" s="124"/>
      <c r="DI34" s="124"/>
      <c r="DN34" s="124"/>
      <c r="DS34" s="124"/>
    </row>
    <row r="35" spans="1:123">
      <c r="B35" s="112" t="s">
        <v>67</v>
      </c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/>
      <c r="X35" s="520"/>
      <c r="Y35" s="520"/>
      <c r="Z35" s="520"/>
      <c r="AA35" s="520"/>
      <c r="AB35" s="520"/>
      <c r="AC35" s="520"/>
      <c r="AD35" s="520"/>
      <c r="AE35" s="520"/>
      <c r="AF35" s="520"/>
      <c r="AG35" s="520"/>
      <c r="AH35" s="520"/>
      <c r="AI35" s="520"/>
      <c r="AJ35" s="520"/>
      <c r="AK35" s="520"/>
      <c r="AL35" s="520"/>
      <c r="AM35" s="520"/>
      <c r="AN35" s="520"/>
      <c r="AO35" s="520"/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1"/>
      <c r="BM35" s="521"/>
      <c r="BN35" s="521"/>
      <c r="BO35" s="521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2"/>
      <c r="CJ35" s="520"/>
      <c r="CK35" s="520"/>
      <c r="CL35" s="520"/>
      <c r="CM35" s="520"/>
      <c r="CN35" s="522"/>
      <c r="CO35" s="520"/>
      <c r="CP35" s="520"/>
      <c r="CQ35" s="520"/>
      <c r="CR35" s="520"/>
      <c r="CS35" s="522"/>
      <c r="CT35" s="520"/>
      <c r="CU35" s="520"/>
      <c r="CV35" s="520"/>
      <c r="CW35" s="520"/>
      <c r="CX35" s="522"/>
      <c r="CY35" s="520"/>
      <c r="CZ35" s="520"/>
      <c r="DA35" s="520"/>
      <c r="DB35" s="520"/>
      <c r="DC35" s="520"/>
      <c r="DD35" s="523"/>
      <c r="DE35" s="520"/>
      <c r="DF35" s="520"/>
      <c r="DG35" s="520"/>
      <c r="DH35" s="520"/>
      <c r="DI35" s="523"/>
      <c r="DJ35" s="520"/>
      <c r="DK35" s="520"/>
      <c r="DL35" s="520"/>
      <c r="DM35" s="520"/>
      <c r="DN35" s="520"/>
      <c r="DO35" s="520"/>
      <c r="DP35" s="520"/>
      <c r="DQ35" s="520"/>
      <c r="DR35" s="520"/>
      <c r="DS35" s="523"/>
    </row>
    <row r="36" spans="1:123">
      <c r="B36" s="198"/>
      <c r="C36" s="124"/>
      <c r="H36" s="124"/>
      <c r="M36" s="124"/>
      <c r="R36" s="124"/>
      <c r="W36" s="124"/>
      <c r="AB36" s="124"/>
      <c r="AG36" s="124"/>
      <c r="AL36" s="124"/>
      <c r="AQ36" s="124"/>
      <c r="AV36" s="124"/>
      <c r="BA36" s="124"/>
      <c r="BF36" s="124"/>
      <c r="BK36" s="124"/>
      <c r="BP36" s="124"/>
      <c r="BU36" s="124"/>
      <c r="BZ36" s="124"/>
      <c r="CE36" s="124"/>
      <c r="CF36" s="513"/>
      <c r="CG36" s="513"/>
      <c r="CH36" s="513"/>
      <c r="CI36" s="244"/>
      <c r="CJ36" s="524"/>
      <c r="CK36" s="209"/>
      <c r="CL36" s="209"/>
      <c r="CM36" s="244"/>
      <c r="CN36" s="244"/>
      <c r="CO36" s="525"/>
      <c r="CT36" s="524"/>
      <c r="CY36" s="526"/>
      <c r="DD36" s="526"/>
      <c r="DI36" s="526"/>
      <c r="DN36" s="526"/>
      <c r="DS36" s="526"/>
    </row>
    <row r="37" s="3" customFormat="1" spans="1:123">
      <c r="A37" s="132"/>
      <c r="B37" s="227" t="s">
        <v>68</v>
      </c>
      <c r="C37" s="131">
        <f>C12</f>
        <v>40.749</v>
      </c>
      <c r="D37" s="132">
        <f>D12</f>
        <v>15.63</v>
      </c>
      <c r="E37" s="132">
        <f>E12</f>
        <v>17.126</v>
      </c>
      <c r="F37" s="132">
        <f>F12</f>
        <v>19.984</v>
      </c>
      <c r="G37" s="132">
        <f>G12</f>
        <v>31.389093</v>
      </c>
      <c r="H37" s="131">
        <f>SUM(D37:G37)</f>
        <v>84.129093</v>
      </c>
      <c r="I37" s="132">
        <f>I12</f>
        <v>28.184</v>
      </c>
      <c r="J37" s="132">
        <f>J12</f>
        <v>32.517437</v>
      </c>
      <c r="K37" s="132">
        <f>K12</f>
        <v>35.967615</v>
      </c>
      <c r="L37" s="132">
        <f>L12</f>
        <v>52.215782</v>
      </c>
      <c r="M37" s="131">
        <f>SUM(I37:L37)</f>
        <v>148.884834</v>
      </c>
      <c r="N37" s="132">
        <f>N12</f>
        <v>44.789456</v>
      </c>
      <c r="O37" s="132">
        <f>O12</f>
        <v>58.680944</v>
      </c>
      <c r="P37" s="132">
        <f>P12</f>
        <v>66.15028</v>
      </c>
      <c r="Q37" s="132">
        <f>Q12</f>
        <v>105.092648</v>
      </c>
      <c r="R37" s="131">
        <f>SUM(N37:Q37)</f>
        <v>274.713328</v>
      </c>
      <c r="S37" s="132">
        <f>S12</f>
        <v>78.167494</v>
      </c>
      <c r="T37" s="132">
        <f>T12</f>
        <v>85.484223</v>
      </c>
      <c r="U37" s="132">
        <f>U12</f>
        <v>87.047135</v>
      </c>
      <c r="V37" s="132">
        <f>V12</f>
        <v>103.921</v>
      </c>
      <c r="W37" s="131">
        <f>SUM(S37:V37)</f>
        <v>354.619852</v>
      </c>
      <c r="X37" s="132">
        <f>X12</f>
        <v>81.68</v>
      </c>
      <c r="Y37" s="132">
        <f>Y12</f>
        <v>97.721</v>
      </c>
      <c r="Z37" s="132">
        <f>Z12</f>
        <v>112.891</v>
      </c>
      <c r="AA37" s="132">
        <f>AA12</f>
        <v>160.606</v>
      </c>
      <c r="AB37" s="131">
        <f>SUM(X37:AA37)</f>
        <v>452.898</v>
      </c>
      <c r="AC37" s="132">
        <f>AC12</f>
        <v>138.297</v>
      </c>
      <c r="AD37" s="132">
        <f>AD12</f>
        <v>152.208</v>
      </c>
      <c r="AE37" s="132">
        <f>AE12</f>
        <v>175.8</v>
      </c>
      <c r="AF37" s="132">
        <f>AF12</f>
        <v>245.399</v>
      </c>
      <c r="AG37" s="131">
        <f>SUM(AC37:AF37)</f>
        <v>711.704</v>
      </c>
      <c r="AH37" s="132">
        <f>AH12</f>
        <v>186.78</v>
      </c>
      <c r="AI37" s="132">
        <f>AI12</f>
        <v>212.323</v>
      </c>
      <c r="AJ37" s="132">
        <f>AJ12</f>
        <v>230.216</v>
      </c>
      <c r="AK37" s="132">
        <f>AK12</f>
        <v>371.52</v>
      </c>
      <c r="AL37" s="131">
        <f>SUM(AH37:AK37)</f>
        <v>1000.839</v>
      </c>
      <c r="AM37" s="132">
        <f>AM12</f>
        <v>285.698</v>
      </c>
      <c r="AN37" s="132">
        <f>AN12</f>
        <v>282.634</v>
      </c>
      <c r="AO37" s="132">
        <f>AO12</f>
        <v>316.537</v>
      </c>
      <c r="AP37" s="132">
        <v>485.489</v>
      </c>
      <c r="AQ37" s="131">
        <v>1370.358</v>
      </c>
      <c r="AR37" s="132">
        <f>AR12</f>
        <v>345.782</v>
      </c>
      <c r="AS37" s="132">
        <f>AS12</f>
        <v>344.513</v>
      </c>
      <c r="AT37" s="132">
        <f>AT12</f>
        <v>379.9</v>
      </c>
      <c r="AU37" s="132">
        <f>AU12</f>
        <v>520.993</v>
      </c>
      <c r="AV37" s="131">
        <f>SUM(AR37:AU37)</f>
        <v>1591.188</v>
      </c>
      <c r="AW37" s="132">
        <f>AW12</f>
        <v>384.618</v>
      </c>
      <c r="AX37" s="132">
        <f>AX12</f>
        <v>390.727</v>
      </c>
      <c r="AY37" s="132">
        <f>AY12</f>
        <v>419.396</v>
      </c>
      <c r="AZ37" s="132">
        <v>602.491</v>
      </c>
      <c r="BA37" s="131">
        <v>1797.213</v>
      </c>
      <c r="BB37" s="132">
        <f>BB12</f>
        <v>423.544</v>
      </c>
      <c r="BC37" s="132">
        <f>BC12</f>
        <v>453.01</v>
      </c>
      <c r="BD37" s="132">
        <f>BD12</f>
        <v>479.693</v>
      </c>
      <c r="BE37" s="132">
        <f>BE12</f>
        <v>704.276</v>
      </c>
      <c r="BF37" s="131">
        <f>SUM(BB37:BE37)</f>
        <v>2060.523</v>
      </c>
      <c r="BG37" s="132">
        <f>BG12</f>
        <v>495.516</v>
      </c>
      <c r="BH37" s="132">
        <f>BH12</f>
        <v>514.52</v>
      </c>
      <c r="BI37" s="132">
        <f>BI12</f>
        <v>544.416</v>
      </c>
      <c r="BJ37" s="132">
        <f>BJ12</f>
        <v>789.94</v>
      </c>
      <c r="BK37" s="131">
        <f>SUM(BG37:BJ37)</f>
        <v>2344.392</v>
      </c>
      <c r="BL37" s="132">
        <f>BL12</f>
        <v>520.307</v>
      </c>
      <c r="BM37" s="132">
        <f>BM12</f>
        <v>581.054</v>
      </c>
      <c r="BN37" s="132">
        <f>BN12</f>
        <v>619.034</v>
      </c>
      <c r="BO37" s="132">
        <v>928.802</v>
      </c>
      <c r="BP37" s="131">
        <v>2649.181</v>
      </c>
      <c r="BQ37" s="132">
        <v>649.706</v>
      </c>
      <c r="BR37" s="132">
        <v>723.5</v>
      </c>
      <c r="BS37" s="132">
        <v>747.655</v>
      </c>
      <c r="BT37" s="132">
        <v>1167.458</v>
      </c>
      <c r="BU37" s="131">
        <f>SUM(BQ37:BT37)</f>
        <v>3288.319</v>
      </c>
      <c r="BV37" s="132">
        <v>782.315</v>
      </c>
      <c r="BW37" s="132">
        <v>883.352</v>
      </c>
      <c r="BX37" s="132">
        <v>916.138</v>
      </c>
      <c r="BY37" s="132">
        <v>1397.491</v>
      </c>
      <c r="BZ37" s="131">
        <f>SUM(BV37:BY37)</f>
        <v>3979.296</v>
      </c>
      <c r="CA37" s="132">
        <v>651.962</v>
      </c>
      <c r="CB37" s="132">
        <v>902.942</v>
      </c>
      <c r="CC37" s="132">
        <v>1117.426</v>
      </c>
      <c r="CD37" s="132">
        <v>1729.55</v>
      </c>
      <c r="CE37" s="131">
        <f>SUM(CA37:CD37)</f>
        <v>4401.88</v>
      </c>
      <c r="CF37" s="132">
        <v>1226.465</v>
      </c>
      <c r="CG37" s="132">
        <v>1450.618</v>
      </c>
      <c r="CH37" s="132">
        <v>1450.421</v>
      </c>
      <c r="CI37" s="132">
        <v>2129.113</v>
      </c>
      <c r="CJ37" s="131">
        <f>SUM(CF37:CI37)</f>
        <v>6256.617</v>
      </c>
      <c r="CK37" s="133">
        <v>1613.463</v>
      </c>
      <c r="CL37" s="133">
        <v>1868.328</v>
      </c>
      <c r="CM37" s="133">
        <v>1856.889</v>
      </c>
      <c r="CN37" s="135">
        <v>2771.838</v>
      </c>
      <c r="CO37" s="134">
        <f>SUM(CK37:CN37)</f>
        <v>8110.518</v>
      </c>
      <c r="CP37" s="133">
        <v>2000.792</v>
      </c>
      <c r="CQ37" s="133">
        <v>2209.165</v>
      </c>
      <c r="CR37" s="135">
        <v>2204.218</v>
      </c>
      <c r="CS37" s="527">
        <v>3205.103</v>
      </c>
      <c r="CT37" s="134">
        <f>SUM(CP37:CS37)</f>
        <v>9619.278</v>
      </c>
      <c r="CU37" s="133">
        <v>2208.891</v>
      </c>
      <c r="CV37" s="133">
        <v>2371.078</v>
      </c>
      <c r="CW37" s="133">
        <v>2396.66</v>
      </c>
      <c r="CX37" s="133">
        <v>3611.497</v>
      </c>
      <c r="CY37" s="134">
        <f>SUM(CU37:CX37)</f>
        <v>10588.126</v>
      </c>
      <c r="CZ37" s="133">
        <v>2370.66</v>
      </c>
      <c r="DA37" s="133">
        <v>2525.219</v>
      </c>
      <c r="DB37" s="133">
        <v>2565.92</v>
      </c>
      <c r="DC37" s="133">
        <v>3640.801</v>
      </c>
      <c r="DD37" s="134">
        <f>'3. Earnings Build'!DD13</f>
        <v>11102.6</v>
      </c>
      <c r="DE37" s="133">
        <v>2471.603</v>
      </c>
      <c r="DF37" s="133">
        <v>2415.631</v>
      </c>
      <c r="DG37" s="133">
        <f>'3. Earnings Build'!DG13</f>
        <v>2315.59134378286</v>
      </c>
      <c r="DH37" s="133">
        <f>'3. Earnings Build'!DH13</f>
        <v>3263.77730874327</v>
      </c>
      <c r="DI37" s="134">
        <f>'3. Earnings Build'!DI13</f>
        <v>10466.6026525261</v>
      </c>
      <c r="DJ37" s="133">
        <f>'3. Earnings Build'!DJ13</f>
        <v>2361.05617059684</v>
      </c>
      <c r="DK37" s="133">
        <f>'3. Earnings Build'!DK13</f>
        <v>2329.69801228581</v>
      </c>
      <c r="DL37" s="133">
        <f>'3. Earnings Build'!DL13</f>
        <v>2305.14863945084</v>
      </c>
      <c r="DM37" s="133">
        <f>'3. Earnings Build'!DM13</f>
        <v>3221.02108171078</v>
      </c>
      <c r="DN37" s="134">
        <f>'3. Earnings Build'!DN13</f>
        <v>10216.9239040443</v>
      </c>
      <c r="DO37" s="133">
        <f>'3. Earnings Build'!DO13</f>
        <v>2391.99814726978</v>
      </c>
      <c r="DP37" s="133">
        <f>'3. Earnings Build'!DP13</f>
        <v>2356.23740144272</v>
      </c>
      <c r="DQ37" s="133">
        <f>'3. Earnings Build'!DQ13</f>
        <v>2341.58494926514</v>
      </c>
      <c r="DR37" s="133">
        <f>'3. Earnings Build'!DR13</f>
        <v>3241.16639010697</v>
      </c>
      <c r="DS37" s="134">
        <f>'3. Earnings Build'!DS13</f>
        <v>10330.9868880846</v>
      </c>
    </row>
    <row r="38" spans="1:123">
      <c r="B38" s="38" t="s">
        <v>69</v>
      </c>
      <c r="C38" s="528"/>
      <c r="D38" s="529"/>
      <c r="E38" s="529"/>
      <c r="F38" s="529"/>
      <c r="G38" s="529"/>
      <c r="H38" s="530">
        <f t="shared" ref="H38:AM38" si="26">H37/C37-1</f>
        <v>1.06456828388427</v>
      </c>
      <c r="I38" s="87">
        <f t="shared" si="26"/>
        <v>0.803198976327575</v>
      </c>
      <c r="J38" s="87">
        <f t="shared" si="26"/>
        <v>0.898717563937872</v>
      </c>
      <c r="K38" s="87">
        <f t="shared" si="26"/>
        <v>0.799820606485188</v>
      </c>
      <c r="L38" s="87">
        <f t="shared" si="26"/>
        <v>0.663500821766338</v>
      </c>
      <c r="M38" s="530">
        <f t="shared" si="26"/>
        <v>0.769718758289716</v>
      </c>
      <c r="N38" s="87">
        <f t="shared" si="26"/>
        <v>0.589180244110133</v>
      </c>
      <c r="O38" s="87">
        <f t="shared" si="26"/>
        <v>0.80459929852405</v>
      </c>
      <c r="P38" s="87">
        <f t="shared" si="26"/>
        <v>0.839162257491913</v>
      </c>
      <c r="Q38" s="87">
        <f t="shared" si="26"/>
        <v>1.0126606166695</v>
      </c>
      <c r="R38" s="530">
        <f t="shared" si="26"/>
        <v>0.845139767560206</v>
      </c>
      <c r="S38" s="87">
        <f t="shared" si="26"/>
        <v>0.745220884129514</v>
      </c>
      <c r="T38" s="87">
        <f t="shared" si="26"/>
        <v>0.456762914379837</v>
      </c>
      <c r="U38" s="87">
        <f t="shared" si="26"/>
        <v>0.315899721059382</v>
      </c>
      <c r="V38" s="87">
        <f t="shared" si="26"/>
        <v>-0.0111487151793906</v>
      </c>
      <c r="W38" s="530">
        <f t="shared" si="26"/>
        <v>0.290872396260294</v>
      </c>
      <c r="X38" s="87">
        <f t="shared" si="26"/>
        <v>0.0449356352654726</v>
      </c>
      <c r="Y38" s="87">
        <f t="shared" si="26"/>
        <v>0.143146613147551</v>
      </c>
      <c r="Z38" s="87">
        <f t="shared" si="26"/>
        <v>0.296895067252932</v>
      </c>
      <c r="AA38" s="87">
        <f t="shared" si="26"/>
        <v>0.54546241856795</v>
      </c>
      <c r="AB38" s="530">
        <f t="shared" si="26"/>
        <v>0.277136622345666</v>
      </c>
      <c r="AC38" s="87">
        <f t="shared" si="26"/>
        <v>0.693156219392752</v>
      </c>
      <c r="AD38" s="87">
        <f t="shared" si="26"/>
        <v>0.557577184023905</v>
      </c>
      <c r="AE38" s="87">
        <f t="shared" si="26"/>
        <v>0.557254342684536</v>
      </c>
      <c r="AF38" s="87">
        <f t="shared" si="26"/>
        <v>0.527956614323251</v>
      </c>
      <c r="AG38" s="530">
        <f t="shared" si="26"/>
        <v>0.571444342876321</v>
      </c>
      <c r="AH38" s="87">
        <f t="shared" si="26"/>
        <v>0.350571595913143</v>
      </c>
      <c r="AI38" s="87">
        <f t="shared" si="26"/>
        <v>0.394952959108588</v>
      </c>
      <c r="AJ38" s="87">
        <f t="shared" si="26"/>
        <v>0.309533560864619</v>
      </c>
      <c r="AK38" s="87">
        <f t="shared" si="26"/>
        <v>0.513942599603095</v>
      </c>
      <c r="AL38" s="530">
        <f t="shared" si="26"/>
        <v>0.406257376662208</v>
      </c>
      <c r="AM38" s="87">
        <f t="shared" si="26"/>
        <v>0.529596316522111</v>
      </c>
      <c r="AN38" s="87">
        <f t="shared" ref="AN38:BS38" si="27">AN37/AI37-1</f>
        <v>0.331151123524065</v>
      </c>
      <c r="AO38" s="87">
        <f t="shared" si="27"/>
        <v>0.374956562532578</v>
      </c>
      <c r="AP38" s="87">
        <f t="shared" si="27"/>
        <v>0.3067641042205</v>
      </c>
      <c r="AQ38" s="530">
        <f t="shared" si="27"/>
        <v>0.369209233453133</v>
      </c>
      <c r="AR38" s="87">
        <f t="shared" si="27"/>
        <v>0.210305987441284</v>
      </c>
      <c r="AS38" s="87">
        <f t="shared" si="27"/>
        <v>0.218936858268998</v>
      </c>
      <c r="AT38" s="87">
        <f t="shared" si="27"/>
        <v>0.200175650871778</v>
      </c>
      <c r="AU38" s="87">
        <f t="shared" si="27"/>
        <v>0.0731303901839178</v>
      </c>
      <c r="AV38" s="530">
        <f t="shared" si="27"/>
        <v>0.161147670900597</v>
      </c>
      <c r="AW38" s="87">
        <f t="shared" si="27"/>
        <v>0.112313538587896</v>
      </c>
      <c r="AX38" s="87">
        <f t="shared" si="27"/>
        <v>0.134142978639413</v>
      </c>
      <c r="AY38" s="87">
        <f t="shared" si="27"/>
        <v>0.103964201105554</v>
      </c>
      <c r="AZ38" s="87">
        <f t="shared" si="27"/>
        <v>0.156428205369362</v>
      </c>
      <c r="BA38" s="530">
        <f t="shared" si="27"/>
        <v>0.129478729100521</v>
      </c>
      <c r="BB38" s="87">
        <f t="shared" si="27"/>
        <v>0.101206911793</v>
      </c>
      <c r="BC38" s="87">
        <f t="shared" si="27"/>
        <v>0.159402856726052</v>
      </c>
      <c r="BD38" s="87">
        <f t="shared" si="27"/>
        <v>0.1437710421654</v>
      </c>
      <c r="BE38" s="87">
        <f t="shared" si="27"/>
        <v>0.168940282925388</v>
      </c>
      <c r="BF38" s="530">
        <f t="shared" si="27"/>
        <v>0.14651017992859</v>
      </c>
      <c r="BG38" s="87">
        <f t="shared" si="27"/>
        <v>0.1699280358121</v>
      </c>
      <c r="BH38" s="87">
        <f t="shared" si="27"/>
        <v>0.135780667093441</v>
      </c>
      <c r="BI38" s="87">
        <f t="shared" si="27"/>
        <v>0.13492587967721</v>
      </c>
      <c r="BJ38" s="87">
        <f t="shared" si="27"/>
        <v>0.121634132073221</v>
      </c>
      <c r="BK38" s="530">
        <f t="shared" si="27"/>
        <v>0.137765509047945</v>
      </c>
      <c r="BL38" s="87">
        <f t="shared" si="27"/>
        <v>0.0500306750942454</v>
      </c>
      <c r="BM38" s="87">
        <f t="shared" si="27"/>
        <v>0.129312757521574</v>
      </c>
      <c r="BN38" s="87">
        <f t="shared" si="27"/>
        <v>0.137060630106389</v>
      </c>
      <c r="BO38" s="87">
        <f t="shared" si="27"/>
        <v>0.175788034534269</v>
      </c>
      <c r="BP38" s="530">
        <f t="shared" si="27"/>
        <v>0.130007694958864</v>
      </c>
      <c r="BQ38" s="87">
        <f t="shared" si="27"/>
        <v>0.248697403648231</v>
      </c>
      <c r="BR38" s="87">
        <f t="shared" si="27"/>
        <v>0.245151053086288</v>
      </c>
      <c r="BS38" s="87">
        <f t="shared" si="27"/>
        <v>0.20777695570841</v>
      </c>
      <c r="BT38" s="87">
        <f t="shared" ref="BT38:CR38" si="28">BT37/BO37-1</f>
        <v>0.256950351097435</v>
      </c>
      <c r="BU38" s="530">
        <f t="shared" si="28"/>
        <v>0.241258713542034</v>
      </c>
      <c r="BV38" s="87">
        <f t="shared" si="28"/>
        <v>0.204106164942297</v>
      </c>
      <c r="BW38" s="87">
        <f t="shared" si="28"/>
        <v>0.220942639944713</v>
      </c>
      <c r="BX38" s="87">
        <f t="shared" si="28"/>
        <v>0.225348589924497</v>
      </c>
      <c r="BY38" s="87">
        <f t="shared" si="28"/>
        <v>0.197037495139011</v>
      </c>
      <c r="BZ38" s="530">
        <f t="shared" si="28"/>
        <v>0.210130768943037</v>
      </c>
      <c r="CA38" s="87">
        <f t="shared" si="28"/>
        <v>-0.16662469721276</v>
      </c>
      <c r="CB38" s="87">
        <f t="shared" si="28"/>
        <v>0.0221768898468562</v>
      </c>
      <c r="CC38" s="87">
        <f t="shared" si="28"/>
        <v>0.219713623930019</v>
      </c>
      <c r="CD38" s="87">
        <f t="shared" si="28"/>
        <v>0.237610832556346</v>
      </c>
      <c r="CE38" s="530">
        <f t="shared" si="28"/>
        <v>0.106195668781614</v>
      </c>
      <c r="CF38" s="87">
        <f t="shared" si="28"/>
        <v>0.881190928305637</v>
      </c>
      <c r="CG38" s="87">
        <f t="shared" si="28"/>
        <v>0.606546156896013</v>
      </c>
      <c r="CH38" s="87">
        <f t="shared" si="28"/>
        <v>0.298001836363214</v>
      </c>
      <c r="CI38" s="87">
        <f t="shared" si="28"/>
        <v>0.231021363938597</v>
      </c>
      <c r="CJ38" s="530">
        <f t="shared" si="28"/>
        <v>0.421351104528065</v>
      </c>
      <c r="CK38" s="87">
        <f t="shared" si="28"/>
        <v>0.315539375359264</v>
      </c>
      <c r="CL38" s="87">
        <f t="shared" si="28"/>
        <v>0.287953134457176</v>
      </c>
      <c r="CM38" s="87">
        <f t="shared" si="28"/>
        <v>0.280241391982052</v>
      </c>
      <c r="CN38" s="87">
        <f t="shared" si="28"/>
        <v>0.301874536485382</v>
      </c>
      <c r="CO38" s="530">
        <f t="shared" si="28"/>
        <v>0.296310450200164</v>
      </c>
      <c r="CP38" s="87">
        <f t="shared" si="28"/>
        <v>0.240060664545763</v>
      </c>
      <c r="CQ38" s="87">
        <f t="shared" si="28"/>
        <v>0.182428888289422</v>
      </c>
      <c r="CR38" s="87">
        <f t="shared" si="28"/>
        <v>0.187048875834797</v>
      </c>
      <c r="CS38" s="87">
        <f t="shared" ref="CS38:CX38" si="29">CS37/CN37-1</f>
        <v>0.156309640029468</v>
      </c>
      <c r="CT38" s="530">
        <f t="shared" si="29"/>
        <v>0.18602510961692</v>
      </c>
      <c r="CU38" s="87">
        <f t="shared" si="29"/>
        <v>0.104008312708168</v>
      </c>
      <c r="CV38" s="87">
        <f t="shared" si="29"/>
        <v>0.0732914924869803</v>
      </c>
      <c r="CW38" s="87">
        <f t="shared" si="29"/>
        <v>0.087306246478343</v>
      </c>
      <c r="CX38" s="87">
        <f t="shared" si="29"/>
        <v>0.126795925123155</v>
      </c>
      <c r="CY38" s="530">
        <f t="shared" ref="CY38:DD38" si="30">CY37/CT37-1</f>
        <v>0.10071940950246</v>
      </c>
      <c r="CZ38" s="87">
        <f t="shared" si="30"/>
        <v>0.0732353927830751</v>
      </c>
      <c r="DA38" s="87">
        <f t="shared" si="30"/>
        <v>0.0650088272085525</v>
      </c>
      <c r="DB38" s="87">
        <f t="shared" si="30"/>
        <v>0.0706232840703314</v>
      </c>
      <c r="DC38" s="87">
        <f t="shared" si="30"/>
        <v>0.00811408676235925</v>
      </c>
      <c r="DD38" s="530">
        <f t="shared" si="30"/>
        <v>0.0485897126649231</v>
      </c>
      <c r="DE38" s="87">
        <f t="shared" ref="DE38:DN38" si="31">DE37/CZ37-1</f>
        <v>0.0425801253659319</v>
      </c>
      <c r="DF38" s="87">
        <f t="shared" si="31"/>
        <v>-0.043397424144203</v>
      </c>
      <c r="DG38" s="87">
        <f t="shared" si="31"/>
        <v>-0.0975590260869944</v>
      </c>
      <c r="DH38" s="87">
        <f t="shared" si="31"/>
        <v>-0.103555149335744</v>
      </c>
      <c r="DI38" s="530">
        <f t="shared" si="31"/>
        <v>-0.0572836405413025</v>
      </c>
      <c r="DJ38" s="87">
        <f t="shared" si="31"/>
        <v>-0.0447267742445541</v>
      </c>
      <c r="DK38" s="87">
        <f t="shared" si="31"/>
        <v>-0.0355737228550999</v>
      </c>
      <c r="DL38" s="87">
        <f t="shared" si="31"/>
        <v>-0.00450973543326327</v>
      </c>
      <c r="DM38" s="87">
        <f t="shared" si="31"/>
        <v>-0.0131002280449559</v>
      </c>
      <c r="DN38" s="530">
        <f t="shared" si="31"/>
        <v>-0.0238548033942606</v>
      </c>
      <c r="DO38" s="87">
        <f t="shared" ref="DO38" si="32">DO37/DJ37-1</f>
        <v>0.0131051421216821</v>
      </c>
      <c r="DP38" s="87">
        <f t="shared" ref="DP38" si="33">DP37/DK37-1</f>
        <v>0.0113917722455663</v>
      </c>
      <c r="DQ38" s="87">
        <f t="shared" ref="DQ38" si="34">DQ37/DL37-1</f>
        <v>0.0158064903888269</v>
      </c>
      <c r="DR38" s="87">
        <f t="shared" ref="DR38" si="35">DR37/DM37-1</f>
        <v>0.00625432367101686</v>
      </c>
      <c r="DS38" s="530">
        <f t="shared" ref="DS38" si="36">DS37/DN37-1</f>
        <v>0.0111641219129752</v>
      </c>
    </row>
    <row r="39" spans="1:123">
      <c r="B39" s="38"/>
      <c r="C39" s="531"/>
      <c r="D39" s="85"/>
      <c r="E39" s="85"/>
      <c r="F39" s="85"/>
      <c r="G39" s="85"/>
      <c r="H39" s="530"/>
      <c r="I39" s="87"/>
      <c r="J39" s="87"/>
      <c r="K39" s="87"/>
      <c r="L39" s="87"/>
      <c r="M39" s="530"/>
      <c r="N39" s="87"/>
      <c r="O39" s="87"/>
      <c r="P39" s="87"/>
      <c r="Q39" s="87"/>
      <c r="R39" s="530"/>
      <c r="S39" s="87"/>
      <c r="T39" s="87"/>
      <c r="U39" s="87"/>
      <c r="V39" s="87"/>
      <c r="W39" s="530"/>
      <c r="X39" s="87"/>
      <c r="Y39" s="87"/>
      <c r="Z39" s="87"/>
      <c r="AA39" s="87"/>
      <c r="AB39" s="530"/>
      <c r="AC39" s="87"/>
      <c r="AD39" s="87"/>
      <c r="AE39" s="87"/>
      <c r="AF39" s="87"/>
      <c r="AG39" s="530"/>
      <c r="AH39" s="87"/>
      <c r="AI39" s="87"/>
      <c r="AJ39" s="87"/>
      <c r="AK39" s="87"/>
      <c r="AL39" s="530"/>
      <c r="AM39" s="87"/>
      <c r="AN39" s="87"/>
      <c r="AO39" s="87"/>
      <c r="AP39" s="87"/>
      <c r="AQ39" s="530"/>
      <c r="AR39" s="87"/>
      <c r="AS39" s="87"/>
      <c r="AT39" s="87"/>
      <c r="AU39" s="87"/>
      <c r="AV39" s="530"/>
      <c r="AW39" s="87"/>
      <c r="AX39" s="87"/>
      <c r="AY39" s="87"/>
      <c r="AZ39" s="87"/>
      <c r="BA39" s="530"/>
      <c r="BB39" s="87"/>
      <c r="BC39" s="87"/>
      <c r="BD39" s="87"/>
      <c r="BE39" s="87"/>
      <c r="BF39" s="530"/>
      <c r="BG39" s="87"/>
      <c r="BH39" s="87"/>
      <c r="BI39" s="87"/>
      <c r="BJ39" s="87"/>
      <c r="BK39" s="530"/>
      <c r="BL39" s="87"/>
      <c r="BM39" s="87"/>
      <c r="BN39" s="87"/>
      <c r="BO39" s="87"/>
      <c r="BP39" s="530"/>
      <c r="BQ39" s="87"/>
      <c r="BR39" s="87"/>
      <c r="BS39" s="87"/>
      <c r="BT39" s="87"/>
      <c r="BU39" s="530"/>
      <c r="BV39" s="87"/>
      <c r="BW39" s="87"/>
      <c r="BX39" s="87"/>
      <c r="BY39" s="87"/>
      <c r="BZ39" s="530"/>
      <c r="CA39" s="87"/>
      <c r="CB39" s="87"/>
      <c r="CC39" s="87"/>
      <c r="CD39" s="87"/>
      <c r="CE39" s="530"/>
      <c r="CF39" s="87"/>
      <c r="CG39" s="87"/>
      <c r="CH39" s="87"/>
      <c r="CI39" s="532"/>
      <c r="CJ39" s="530"/>
      <c r="CK39" s="87"/>
      <c r="CL39" s="87"/>
      <c r="CM39" s="532"/>
      <c r="CN39" s="532"/>
      <c r="CO39" s="533"/>
      <c r="CP39" s="87"/>
      <c r="CQ39" s="87"/>
      <c r="CR39" s="87"/>
      <c r="CS39" s="87"/>
      <c r="CT39" s="530"/>
      <c r="CU39" s="87"/>
      <c r="CV39" s="87"/>
      <c r="CW39" s="87"/>
      <c r="CX39" s="87"/>
      <c r="CY39" s="530"/>
      <c r="CZ39" s="87"/>
      <c r="DA39" s="87"/>
      <c r="DB39" s="87"/>
      <c r="DC39" s="126"/>
      <c r="DD39" s="127"/>
      <c r="DE39" s="126"/>
      <c r="DF39" s="87"/>
      <c r="DG39" s="87"/>
      <c r="DH39" s="87"/>
      <c r="DI39" s="530"/>
      <c r="DJ39" s="87"/>
      <c r="DK39" s="87"/>
      <c r="DL39" s="87"/>
      <c r="DM39" s="87"/>
      <c r="DN39" s="530"/>
      <c r="DO39" s="87"/>
      <c r="DP39" s="87"/>
      <c r="DQ39" s="87"/>
      <c r="DR39" s="87"/>
      <c r="DS39" s="530"/>
    </row>
    <row r="40" spans="1:123">
      <c r="B40" s="198" t="s">
        <v>70</v>
      </c>
      <c r="C40" s="124">
        <f>'3. Earnings Build'!C134</f>
        <v>-19.448</v>
      </c>
      <c r="D40" s="125">
        <f>'3. Earnings Build'!D134</f>
        <v>-8.207</v>
      </c>
      <c r="E40" s="125">
        <f>'3. Earnings Build'!E134</f>
        <v>-7.94</v>
      </c>
      <c r="F40" s="125">
        <f>'3. Earnings Build'!F134</f>
        <v>-9.613</v>
      </c>
      <c r="G40" s="125">
        <f>'3. Earnings Build'!G134</f>
        <v>-15.416981</v>
      </c>
      <c r="H40" s="124">
        <f>SUM(D40:G40)</f>
        <v>-41.176981</v>
      </c>
      <c r="I40" s="125">
        <f>'3. Earnings Build'!I134</f>
        <v>-13.664</v>
      </c>
      <c r="J40" s="125">
        <f>'3. Earnings Build'!J134</f>
        <v>-16.614142</v>
      </c>
      <c r="K40" s="125">
        <f>'3. Earnings Build'!K134</f>
        <v>-17.227413</v>
      </c>
      <c r="L40" s="125">
        <f>'3. Earnings Build'!L134</f>
        <v>-25.397557</v>
      </c>
      <c r="M40" s="124">
        <f>SUM(I40:L40)</f>
        <v>-72.903112</v>
      </c>
      <c r="N40" s="125">
        <f>'3. Earnings Build'!N134</f>
        <v>-22.178568</v>
      </c>
      <c r="O40" s="125">
        <f>'3. Earnings Build'!O134</f>
        <v>-27.434066</v>
      </c>
      <c r="P40" s="125">
        <f>'3. Earnings Build'!P134</f>
        <v>-30.26986</v>
      </c>
      <c r="Q40" s="125">
        <f>'3. Earnings Build'!Q134</f>
        <v>-48.528681</v>
      </c>
      <c r="R40" s="124">
        <f>SUM(N40:Q40)</f>
        <v>-128.411175</v>
      </c>
      <c r="S40" s="125">
        <f>'3. Earnings Build'!S134</f>
        <v>-36.645025</v>
      </c>
      <c r="T40" s="125">
        <f>'3. Earnings Build'!T134</f>
        <v>-41.107858</v>
      </c>
      <c r="U40" s="125">
        <f>'3. Earnings Build'!U134</f>
        <v>-45.153576</v>
      </c>
      <c r="V40" s="125">
        <f>'3. Earnings Build'!V134</f>
        <v>-52.261</v>
      </c>
      <c r="W40" s="124">
        <f>SUM(S40:V40)</f>
        <v>-175.167459</v>
      </c>
      <c r="X40" s="125">
        <f>'3. Earnings Build'!X134</f>
        <v>-46.731</v>
      </c>
      <c r="Y40" s="125">
        <f>'3. Earnings Build'!Y134</f>
        <v>-52.557</v>
      </c>
      <c r="Z40" s="125">
        <f>'3. Earnings Build'!Z134</f>
        <v>-56.553</v>
      </c>
      <c r="AA40" s="125">
        <f>'3. Earnings Build'!AA134</f>
        <v>-74.046</v>
      </c>
      <c r="AB40" s="124">
        <f>SUM(X40:AA40)</f>
        <v>-229.887</v>
      </c>
      <c r="AC40" s="125">
        <f>'3. Earnings Build'!AC134</f>
        <v>-63.94</v>
      </c>
      <c r="AD40" s="125">
        <f>'3. Earnings Build'!AD134</f>
        <v>-71.91</v>
      </c>
      <c r="AE40" s="125">
        <f>'3. Earnings Build'!AE134</f>
        <v>-78.968</v>
      </c>
      <c r="AF40" s="125">
        <f>'3. Earnings Build'!AF134</f>
        <v>-101.939</v>
      </c>
      <c r="AG40" s="124">
        <f>SUM(AC40:AF40)</f>
        <v>-316.757</v>
      </c>
      <c r="AH40" s="125">
        <f>'3. Earnings Build'!AH134</f>
        <v>-77.053</v>
      </c>
      <c r="AI40" s="125">
        <f>'3. Earnings Build'!AI134</f>
        <v>-90.256</v>
      </c>
      <c r="AJ40" s="125">
        <f>'3. Earnings Build'!AJ134</f>
        <v>-101.703</v>
      </c>
      <c r="AK40" s="125">
        <f>'3. Earnings Build'!AK134</f>
        <v>-162.502</v>
      </c>
      <c r="AL40" s="124">
        <f>SUM(AH40:AK40)</f>
        <v>-431.514</v>
      </c>
      <c r="AM40" s="125">
        <f>'3. Earnings Build'!AM134</f>
        <v>-128.434</v>
      </c>
      <c r="AN40" s="125">
        <f>'3. Earnings Build'!AN134</f>
        <v>-126.879</v>
      </c>
      <c r="AO40" s="125">
        <f>'3. Earnings Build'!AO134</f>
        <v>-141.237</v>
      </c>
      <c r="AP40" s="125">
        <f>'3. Earnings Build'!AP134</f>
        <v>-210.982</v>
      </c>
      <c r="AQ40" s="124">
        <f>SUM(AM40:AP40)</f>
        <v>-607.532</v>
      </c>
      <c r="AR40" s="125">
        <f>'3. Earnings Build'!AR134</f>
        <v>-175.057</v>
      </c>
      <c r="AS40" s="125">
        <f>'3. Earnings Build'!AS134</f>
        <v>-158.558</v>
      </c>
      <c r="AT40" s="125">
        <f>'3. Earnings Build'!AT134</f>
        <v>-175.294</v>
      </c>
      <c r="AU40" s="125">
        <f>'3. Earnings Build'!AU134</f>
        <v>-242.203</v>
      </c>
      <c r="AV40" s="124">
        <f>SUM(AR40:AU40)</f>
        <v>-751.112</v>
      </c>
      <c r="AW40" s="125">
        <f>'3. Earnings Build'!AW134</f>
        <v>-188.874</v>
      </c>
      <c r="AX40" s="125">
        <f>'3. Earnings Build'!AX134</f>
        <v>-193.401</v>
      </c>
      <c r="AY40" s="125">
        <f>'3. Earnings Build'!AY134</f>
        <v>-208.308</v>
      </c>
      <c r="AZ40" s="125">
        <f>'3. Earnings Build'!AZ134</f>
        <v>-292.45</v>
      </c>
      <c r="BA40" s="124">
        <f>SUM(AW40:AZ40)</f>
        <v>-883.033</v>
      </c>
      <c r="BB40" s="125">
        <f>'3. Earnings Build'!BB134</f>
        <v>-217.667</v>
      </c>
      <c r="BC40" s="125">
        <f>'3. Earnings Build'!BC134</f>
        <v>-240.985</v>
      </c>
      <c r="BD40" s="125">
        <f>'3. Earnings Build'!BD134</f>
        <v>-254.896</v>
      </c>
      <c r="BE40" s="125">
        <f>'3. Earnings Build'!BE134</f>
        <v>-349.809</v>
      </c>
      <c r="BF40" s="124">
        <f>SUM(BB40:BE40)</f>
        <v>-1063.357</v>
      </c>
      <c r="BG40" s="125">
        <f>'3. Earnings Build'!BG134</f>
        <v>-256.385</v>
      </c>
      <c r="BH40" s="125">
        <f>'3. Earnings Build'!BH134</f>
        <v>-260.359</v>
      </c>
      <c r="BI40" s="125">
        <f>'3. Earnings Build'!BI134</f>
        <v>-265.99</v>
      </c>
      <c r="BJ40" s="125">
        <f>'3. Earnings Build'!BJ134</f>
        <v>-362.041</v>
      </c>
      <c r="BK40" s="124">
        <f>SUM(BG40:BJ40)</f>
        <v>-1144.775</v>
      </c>
      <c r="BL40" s="125">
        <f>'3. Earnings Build'!BL134</f>
        <v>-257.993</v>
      </c>
      <c r="BM40" s="125">
        <f>'3. Earnings Build'!BM134</f>
        <v>-281.388</v>
      </c>
      <c r="BN40" s="125">
        <f>'3. Earnings Build'!BN134</f>
        <v>-295.878</v>
      </c>
      <c r="BO40" s="125">
        <f>'3. Earnings Build'!BO134</f>
        <v>-406.434</v>
      </c>
      <c r="BP40" s="124">
        <f>SUM(BL40:BO40)</f>
        <v>-1241.693</v>
      </c>
      <c r="BQ40" s="89">
        <v>-304.973</v>
      </c>
      <c r="BR40" s="89">
        <v>-327.306</v>
      </c>
      <c r="BS40" s="125">
        <v>-340.878</v>
      </c>
      <c r="BT40" s="125">
        <v>-498.875</v>
      </c>
      <c r="BU40" s="124">
        <f>SUM(BQ40:BT40)</f>
        <v>-1472.032</v>
      </c>
      <c r="BV40" s="125">
        <v>-360.595</v>
      </c>
      <c r="BW40" s="125">
        <f>-397.556</f>
        <v>-397.556</v>
      </c>
      <c r="BX40" s="125">
        <v>-411.094</v>
      </c>
      <c r="BY40" s="125">
        <v>-586.665</v>
      </c>
      <c r="BZ40" s="124">
        <f>SUM(BV40:BY40)</f>
        <v>-1755.91</v>
      </c>
      <c r="CA40" s="125">
        <v>-317.56</v>
      </c>
      <c r="CB40" s="125">
        <v>-413.441</v>
      </c>
      <c r="CC40" s="125">
        <v>-490.072</v>
      </c>
      <c r="CD40" s="125">
        <v>-716.816</v>
      </c>
      <c r="CE40" s="124">
        <f>SUM(CA40:CD40)</f>
        <v>-1937.889</v>
      </c>
      <c r="CF40" s="125">
        <v>-526.151</v>
      </c>
      <c r="CG40" s="125">
        <v>-607.932</v>
      </c>
      <c r="CH40" s="125">
        <v>-621.028</v>
      </c>
      <c r="CI40" s="125">
        <v>-892.941</v>
      </c>
      <c r="CJ40" s="124">
        <f>SUM(CF40:CI40)</f>
        <v>-2648.052</v>
      </c>
      <c r="CK40" s="126">
        <v>-743.07</v>
      </c>
      <c r="CL40" s="126">
        <v>-812.852</v>
      </c>
      <c r="CM40" s="126">
        <v>-818.037</v>
      </c>
      <c r="CN40" s="128">
        <f>-1244.219+62.928</f>
        <v>-1181.291</v>
      </c>
      <c r="CO40" s="127">
        <f>SUM(CK40:CN40)</f>
        <v>-3555.25</v>
      </c>
      <c r="CP40" s="126">
        <v>-849.987</v>
      </c>
      <c r="CQ40" s="128">
        <v>-910.654</v>
      </c>
      <c r="CR40" s="128">
        <f>-947.554+23.709</f>
        <v>-923.845</v>
      </c>
      <c r="CS40" s="313">
        <f>-1301.678</f>
        <v>-1301.678</v>
      </c>
      <c r="CT40" s="218">
        <f>SUM(CP40:CS40)</f>
        <v>-3986.164</v>
      </c>
      <c r="CU40" s="126">
        <v>-933.823</v>
      </c>
      <c r="CV40" s="126">
        <v>-958.893</v>
      </c>
      <c r="CW40" s="126">
        <v>-995.054</v>
      </c>
      <c r="CX40" s="126">
        <v>-1429.545</v>
      </c>
      <c r="CY40" s="127">
        <f>SUM(CU40:CX40)</f>
        <v>-4317.315</v>
      </c>
      <c r="CZ40" s="126">
        <v>-987.534</v>
      </c>
      <c r="DA40" s="126">
        <v>-1048.017</v>
      </c>
      <c r="DB40" s="126">
        <v>-1140.004</v>
      </c>
      <c r="DC40" s="126">
        <f>-1642.913</f>
        <v>-1642.913</v>
      </c>
      <c r="DD40" s="127">
        <f>SUM(CZ40:DC40)</f>
        <v>-4818.468</v>
      </c>
      <c r="DE40" s="126">
        <v>-1132.785</v>
      </c>
      <c r="DF40" s="126">
        <f>-953.753</f>
        <v>-953.753</v>
      </c>
      <c r="DG40" s="126">
        <f>DG42-DG37</f>
        <v>-1086.67610361929</v>
      </c>
      <c r="DH40" s="126">
        <f>DH42-DH37</f>
        <v>-1472.78089893936</v>
      </c>
      <c r="DI40" s="127">
        <f>SUM(DE40:DH40)</f>
        <v>-4645.99500255866</v>
      </c>
      <c r="DJ40" s="126">
        <f>DJ42-DJ37</f>
        <v>-1075.03601252559</v>
      </c>
      <c r="DK40" s="126">
        <f>DK42-DK37</f>
        <v>-1040.96875174464</v>
      </c>
      <c r="DL40" s="126">
        <f>DL42-DL37</f>
        <v>-1085.2332048495</v>
      </c>
      <c r="DM40" s="126">
        <f>DM42-DM37</f>
        <v>-1458.31866492557</v>
      </c>
      <c r="DN40" s="127">
        <f>SUM(DJ40:DM40)</f>
        <v>-4659.5566340453</v>
      </c>
      <c r="DO40" s="126">
        <f>DO42-DO37</f>
        <v>-1091.51651040294</v>
      </c>
      <c r="DP40" s="126">
        <f>DP42-DP37</f>
        <v>-1055.18346808071</v>
      </c>
      <c r="DQ40" s="126">
        <f>DQ42-DQ37</f>
        <v>-1104.72851802085</v>
      </c>
      <c r="DR40" s="126">
        <f>DR42-DR37</f>
        <v>-1470.68062826161</v>
      </c>
      <c r="DS40" s="127">
        <f>SUM(DO40:DR40)</f>
        <v>-4722.10912476611</v>
      </c>
    </row>
    <row r="41" spans="1:123">
      <c r="B41" s="198"/>
      <c r="C41" s="124"/>
      <c r="H41" s="124"/>
      <c r="M41" s="124"/>
      <c r="R41" s="124"/>
      <c r="W41" s="124"/>
      <c r="AB41" s="124"/>
      <c r="AG41" s="124"/>
      <c r="AL41" s="124"/>
      <c r="AQ41" s="124"/>
      <c r="AV41" s="124"/>
      <c r="BA41" s="124"/>
      <c r="BF41" s="124"/>
      <c r="BK41" s="124"/>
      <c r="BP41" s="124"/>
      <c r="BU41" s="124"/>
      <c r="BZ41" s="124"/>
      <c r="CE41" s="124"/>
      <c r="CF41" s="534"/>
      <c r="CG41" s="534"/>
      <c r="CH41" s="534"/>
      <c r="CI41" s="534"/>
      <c r="CJ41" s="526"/>
      <c r="CK41" s="126"/>
      <c r="CL41" s="126"/>
      <c r="CM41" s="126"/>
      <c r="CN41" s="126"/>
      <c r="CO41" s="127"/>
      <c r="CP41" s="126"/>
      <c r="CQ41" s="126"/>
      <c r="CR41" s="126"/>
      <c r="CS41" s="126"/>
      <c r="CT41" s="127"/>
      <c r="CU41" s="126"/>
      <c r="CV41" s="126"/>
      <c r="CW41" s="126"/>
      <c r="CX41" s="126"/>
      <c r="CY41" s="127"/>
      <c r="CZ41" s="126"/>
      <c r="DA41" s="513"/>
      <c r="DB41" s="513"/>
      <c r="DC41" s="513"/>
      <c r="DD41" s="127"/>
      <c r="DE41" s="513"/>
      <c r="DF41" s="513"/>
      <c r="DG41" s="513"/>
      <c r="DH41" s="126"/>
      <c r="DI41" s="127"/>
      <c r="DJ41" s="126"/>
      <c r="DK41" s="126"/>
      <c r="DL41" s="126"/>
      <c r="DM41" s="126"/>
      <c r="DN41" s="127"/>
      <c r="DO41" s="126"/>
      <c r="DP41" s="126"/>
      <c r="DQ41" s="126"/>
      <c r="DR41" s="126"/>
      <c r="DS41" s="127"/>
    </row>
    <row r="42" s="3" customFormat="1" spans="1:123">
      <c r="A42" s="132"/>
      <c r="B42" s="227" t="s">
        <v>71</v>
      </c>
      <c r="C42" s="131">
        <f t="shared" ref="C42:AH42" si="37">C37+C40</f>
        <v>21.301</v>
      </c>
      <c r="D42" s="132">
        <f t="shared" si="37"/>
        <v>7.423</v>
      </c>
      <c r="E42" s="132">
        <f t="shared" si="37"/>
        <v>9.186</v>
      </c>
      <c r="F42" s="132">
        <f t="shared" si="37"/>
        <v>10.371</v>
      </c>
      <c r="G42" s="132">
        <f t="shared" si="37"/>
        <v>15.972112</v>
      </c>
      <c r="H42" s="131">
        <f t="shared" si="37"/>
        <v>42.952112</v>
      </c>
      <c r="I42" s="132">
        <f t="shared" si="37"/>
        <v>14.52</v>
      </c>
      <c r="J42" s="132">
        <f t="shared" si="37"/>
        <v>15.903295</v>
      </c>
      <c r="K42" s="132">
        <f t="shared" si="37"/>
        <v>18.740202</v>
      </c>
      <c r="L42" s="132">
        <f t="shared" si="37"/>
        <v>26.818225</v>
      </c>
      <c r="M42" s="131">
        <f t="shared" si="37"/>
        <v>75.981722</v>
      </c>
      <c r="N42" s="132">
        <f t="shared" si="37"/>
        <v>22.610888</v>
      </c>
      <c r="O42" s="132">
        <f t="shared" si="37"/>
        <v>31.246878</v>
      </c>
      <c r="P42" s="132">
        <f t="shared" si="37"/>
        <v>35.88042</v>
      </c>
      <c r="Q42" s="132">
        <f t="shared" si="37"/>
        <v>56.563967</v>
      </c>
      <c r="R42" s="131">
        <f t="shared" si="37"/>
        <v>146.302153</v>
      </c>
      <c r="S42" s="132">
        <f t="shared" si="37"/>
        <v>41.522469</v>
      </c>
      <c r="T42" s="132">
        <f t="shared" si="37"/>
        <v>44.376365</v>
      </c>
      <c r="U42" s="132">
        <f t="shared" si="37"/>
        <v>41.893559</v>
      </c>
      <c r="V42" s="132">
        <f t="shared" si="37"/>
        <v>51.66</v>
      </c>
      <c r="W42" s="131">
        <f t="shared" si="37"/>
        <v>179.452393</v>
      </c>
      <c r="X42" s="132">
        <f t="shared" si="37"/>
        <v>34.949</v>
      </c>
      <c r="Y42" s="132">
        <f t="shared" si="37"/>
        <v>45.164</v>
      </c>
      <c r="Z42" s="132">
        <f t="shared" si="37"/>
        <v>56.338</v>
      </c>
      <c r="AA42" s="132">
        <f t="shared" si="37"/>
        <v>86.56</v>
      </c>
      <c r="AB42" s="131">
        <f t="shared" si="37"/>
        <v>223.011</v>
      </c>
      <c r="AC42" s="132">
        <f t="shared" si="37"/>
        <v>74.357</v>
      </c>
      <c r="AD42" s="132">
        <f t="shared" si="37"/>
        <v>80.298</v>
      </c>
      <c r="AE42" s="132">
        <f t="shared" si="37"/>
        <v>96.832</v>
      </c>
      <c r="AF42" s="132">
        <f t="shared" si="37"/>
        <v>143.46</v>
      </c>
      <c r="AG42" s="131">
        <f t="shared" si="37"/>
        <v>394.947</v>
      </c>
      <c r="AH42" s="132">
        <f t="shared" si="37"/>
        <v>109.727</v>
      </c>
      <c r="AI42" s="132">
        <f t="shared" ref="AI42:BN42" si="38">AI37+AI40</f>
        <v>122.067</v>
      </c>
      <c r="AJ42" s="132">
        <f t="shared" si="38"/>
        <v>128.513</v>
      </c>
      <c r="AK42" s="132">
        <f t="shared" si="38"/>
        <v>209.018</v>
      </c>
      <c r="AL42" s="131">
        <f t="shared" si="38"/>
        <v>569.325</v>
      </c>
      <c r="AM42" s="132">
        <f t="shared" si="38"/>
        <v>157.264</v>
      </c>
      <c r="AN42" s="132">
        <f t="shared" si="38"/>
        <v>155.755</v>
      </c>
      <c r="AO42" s="132">
        <f t="shared" si="38"/>
        <v>175.3</v>
      </c>
      <c r="AP42" s="132">
        <f t="shared" si="38"/>
        <v>274.507</v>
      </c>
      <c r="AQ42" s="131">
        <f t="shared" si="38"/>
        <v>762.826</v>
      </c>
      <c r="AR42" s="132">
        <f t="shared" si="38"/>
        <v>170.725</v>
      </c>
      <c r="AS42" s="132">
        <f t="shared" si="38"/>
        <v>185.955</v>
      </c>
      <c r="AT42" s="132">
        <f t="shared" si="38"/>
        <v>204.606</v>
      </c>
      <c r="AU42" s="132">
        <f t="shared" si="38"/>
        <v>278.79</v>
      </c>
      <c r="AV42" s="131">
        <f t="shared" si="38"/>
        <v>840.076</v>
      </c>
      <c r="AW42" s="132">
        <f t="shared" si="38"/>
        <v>195.744</v>
      </c>
      <c r="AX42" s="132">
        <f t="shared" si="38"/>
        <v>197.326</v>
      </c>
      <c r="AY42" s="132">
        <f t="shared" si="38"/>
        <v>211.088</v>
      </c>
      <c r="AZ42" s="132">
        <f t="shared" si="38"/>
        <v>310.041</v>
      </c>
      <c r="BA42" s="131">
        <f t="shared" si="38"/>
        <v>914.18</v>
      </c>
      <c r="BB42" s="132">
        <f t="shared" si="38"/>
        <v>205.877</v>
      </c>
      <c r="BC42" s="132">
        <f t="shared" si="38"/>
        <v>212.025</v>
      </c>
      <c r="BD42" s="132">
        <f t="shared" si="38"/>
        <v>224.797</v>
      </c>
      <c r="BE42" s="132">
        <f t="shared" si="38"/>
        <v>354.467</v>
      </c>
      <c r="BF42" s="131">
        <f t="shared" si="38"/>
        <v>997.166</v>
      </c>
      <c r="BG42" s="132">
        <f t="shared" si="38"/>
        <v>239.131</v>
      </c>
      <c r="BH42" s="132">
        <f t="shared" si="38"/>
        <v>254.161</v>
      </c>
      <c r="BI42" s="132">
        <f t="shared" si="38"/>
        <v>278.426</v>
      </c>
      <c r="BJ42" s="132">
        <f t="shared" si="38"/>
        <v>427.899</v>
      </c>
      <c r="BK42" s="131">
        <f t="shared" si="38"/>
        <v>1199.617</v>
      </c>
      <c r="BL42" s="132">
        <f t="shared" si="38"/>
        <v>262.314</v>
      </c>
      <c r="BM42" s="132">
        <f t="shared" si="38"/>
        <v>299.666</v>
      </c>
      <c r="BN42" s="132">
        <f t="shared" si="38"/>
        <v>323.156</v>
      </c>
      <c r="BO42" s="132">
        <f t="shared" ref="BO42:CT42" si="39">BO37+BO40</f>
        <v>522.368</v>
      </c>
      <c r="BP42" s="131">
        <f t="shared" si="39"/>
        <v>1407.488</v>
      </c>
      <c r="BQ42" s="132">
        <f t="shared" si="39"/>
        <v>344.733</v>
      </c>
      <c r="BR42" s="132">
        <f t="shared" si="39"/>
        <v>396.194</v>
      </c>
      <c r="BS42" s="132">
        <f t="shared" si="39"/>
        <v>406.777</v>
      </c>
      <c r="BT42" s="132">
        <f t="shared" si="39"/>
        <v>668.583</v>
      </c>
      <c r="BU42" s="131">
        <f t="shared" si="39"/>
        <v>1816.287</v>
      </c>
      <c r="BV42" s="132">
        <f t="shared" si="39"/>
        <v>421.72</v>
      </c>
      <c r="BW42" s="132">
        <f t="shared" si="39"/>
        <v>485.796</v>
      </c>
      <c r="BX42" s="132">
        <f t="shared" si="39"/>
        <v>505.044</v>
      </c>
      <c r="BY42" s="132">
        <f t="shared" si="39"/>
        <v>810.826</v>
      </c>
      <c r="BZ42" s="131">
        <f t="shared" si="39"/>
        <v>2223.386</v>
      </c>
      <c r="CA42" s="132">
        <f t="shared" si="39"/>
        <v>334.402</v>
      </c>
      <c r="CB42" s="132">
        <f t="shared" si="39"/>
        <v>489.501</v>
      </c>
      <c r="CC42" s="132">
        <f t="shared" si="39"/>
        <v>627.354</v>
      </c>
      <c r="CD42" s="132">
        <f t="shared" si="39"/>
        <v>1012.734</v>
      </c>
      <c r="CE42" s="131">
        <f t="shared" si="39"/>
        <v>2463.991</v>
      </c>
      <c r="CF42" s="132">
        <f t="shared" si="39"/>
        <v>700.314</v>
      </c>
      <c r="CG42" s="89">
        <f t="shared" si="39"/>
        <v>842.686</v>
      </c>
      <c r="CH42" s="89">
        <f t="shared" si="39"/>
        <v>829.393</v>
      </c>
      <c r="CI42" s="89">
        <f t="shared" si="39"/>
        <v>1236.172</v>
      </c>
      <c r="CJ42" s="131">
        <f t="shared" si="39"/>
        <v>3608.565</v>
      </c>
      <c r="CK42" s="133">
        <f t="shared" si="39"/>
        <v>870.393</v>
      </c>
      <c r="CL42" s="95">
        <f t="shared" si="39"/>
        <v>1055.476</v>
      </c>
      <c r="CM42" s="95">
        <f t="shared" si="39"/>
        <v>1038.852</v>
      </c>
      <c r="CN42" s="95">
        <f t="shared" si="39"/>
        <v>1590.547</v>
      </c>
      <c r="CO42" s="134">
        <f t="shared" si="39"/>
        <v>4555.268</v>
      </c>
      <c r="CP42" s="133">
        <f t="shared" si="39"/>
        <v>1150.805</v>
      </c>
      <c r="CQ42" s="133">
        <f t="shared" si="39"/>
        <v>1298.511</v>
      </c>
      <c r="CR42" s="95">
        <f t="shared" si="39"/>
        <v>1280.373</v>
      </c>
      <c r="CS42" s="95">
        <f t="shared" si="39"/>
        <v>1903.425</v>
      </c>
      <c r="CT42" s="134">
        <f t="shared" si="39"/>
        <v>5633.114</v>
      </c>
      <c r="CU42" s="95">
        <f t="shared" ref="CU42:DF42" si="40">CU37+CU40</f>
        <v>1275.068</v>
      </c>
      <c r="CV42" s="133">
        <f t="shared" si="40"/>
        <v>1412.185</v>
      </c>
      <c r="CW42" s="95">
        <f t="shared" si="40"/>
        <v>1401.606</v>
      </c>
      <c r="CX42" s="95">
        <f t="shared" si="40"/>
        <v>2181.952</v>
      </c>
      <c r="CY42" s="134">
        <f t="shared" si="40"/>
        <v>6270.811</v>
      </c>
      <c r="CZ42" s="95">
        <f t="shared" si="40"/>
        <v>1383.126</v>
      </c>
      <c r="DA42" s="133">
        <f t="shared" si="40"/>
        <v>1477.202</v>
      </c>
      <c r="DB42" s="133">
        <f t="shared" si="40"/>
        <v>1425.916</v>
      </c>
      <c r="DC42" s="95">
        <f t="shared" si="40"/>
        <v>1997.888</v>
      </c>
      <c r="DD42" s="134">
        <f t="shared" si="40"/>
        <v>6284.132</v>
      </c>
      <c r="DE42" s="95">
        <f t="shared" si="40"/>
        <v>1338.818</v>
      </c>
      <c r="DF42" s="95">
        <f t="shared" si="40"/>
        <v>1461.878</v>
      </c>
      <c r="DG42" s="95">
        <f>DG37*(DB44+DG45/10000)</f>
        <v>1228.91524016357</v>
      </c>
      <c r="DH42" s="95">
        <f>DH37*(DC44+DH45/10000)</f>
        <v>1790.99640980391</v>
      </c>
      <c r="DI42" s="134">
        <f>DI37+DI40</f>
        <v>5820.60764996748</v>
      </c>
      <c r="DJ42" s="95">
        <f>DJ37*(DE44+DJ45/10000)</f>
        <v>1286.02015807125</v>
      </c>
      <c r="DK42" s="95">
        <f>DK37*(DF44+DK45/10000)</f>
        <v>1288.72926054117</v>
      </c>
      <c r="DL42" s="95">
        <f>DL37*(DG44+DL45/10000)</f>
        <v>1219.91543460135</v>
      </c>
      <c r="DM42" s="95">
        <f>DM37*(DH44+DM45/10000)</f>
        <v>1762.70241678521</v>
      </c>
      <c r="DN42" s="134">
        <f>DN37+DN40</f>
        <v>5557.36726999897</v>
      </c>
      <c r="DO42" s="95">
        <f>DO37*(DJ44+DO45/10000)</f>
        <v>1300.48163686685</v>
      </c>
      <c r="DP42" s="95">
        <f>DP37*(DK44+DP45/10000)</f>
        <v>1301.05393336201</v>
      </c>
      <c r="DQ42" s="95">
        <f>DQ37*(DL44+DQ45/10000)</f>
        <v>1236.85643124429</v>
      </c>
      <c r="DR42" s="95">
        <f>DR37*(DM44+DR45/10000)</f>
        <v>1770.48576184537</v>
      </c>
      <c r="DS42" s="134">
        <f>DS37+DS40</f>
        <v>5608.87776331851</v>
      </c>
    </row>
    <row r="43" spans="1:123">
      <c r="A43" s="6"/>
      <c r="B43" s="38" t="s">
        <v>69</v>
      </c>
      <c r="C43" s="535"/>
      <c r="D43" s="487"/>
      <c r="E43" s="487"/>
      <c r="F43" s="487"/>
      <c r="G43" s="487"/>
      <c r="H43" s="530">
        <f t="shared" ref="H43:AM43" si="41">H42/C42-1</f>
        <v>1.01643641143608</v>
      </c>
      <c r="I43" s="87">
        <f t="shared" si="41"/>
        <v>0.956082446450223</v>
      </c>
      <c r="J43" s="87">
        <f t="shared" si="41"/>
        <v>0.731253537992598</v>
      </c>
      <c r="K43" s="87">
        <f t="shared" si="41"/>
        <v>0.806981197570148</v>
      </c>
      <c r="L43" s="87">
        <f t="shared" si="41"/>
        <v>0.679065673969729</v>
      </c>
      <c r="M43" s="530">
        <f t="shared" si="41"/>
        <v>0.768986866117317</v>
      </c>
      <c r="N43" s="87">
        <f t="shared" si="41"/>
        <v>0.557223691460055</v>
      </c>
      <c r="O43" s="87">
        <f t="shared" si="41"/>
        <v>0.9648052809182</v>
      </c>
      <c r="P43" s="87">
        <f t="shared" si="41"/>
        <v>0.914622905345417</v>
      </c>
      <c r="Q43" s="87">
        <f t="shared" si="41"/>
        <v>1.10916147507898</v>
      </c>
      <c r="R43" s="530">
        <f t="shared" si="41"/>
        <v>0.925491409631383</v>
      </c>
      <c r="S43" s="87">
        <f t="shared" si="41"/>
        <v>0.836392670646106</v>
      </c>
      <c r="T43" s="87">
        <f t="shared" si="41"/>
        <v>0.420185562218408</v>
      </c>
      <c r="U43" s="87">
        <f t="shared" si="41"/>
        <v>0.167588311396578</v>
      </c>
      <c r="V43" s="87">
        <f t="shared" si="41"/>
        <v>-0.0866977204763586</v>
      </c>
      <c r="W43" s="530">
        <f t="shared" si="41"/>
        <v>0.226587506200268</v>
      </c>
      <c r="X43" s="87">
        <f t="shared" si="41"/>
        <v>-0.158311130294299</v>
      </c>
      <c r="Y43" s="87">
        <f t="shared" si="41"/>
        <v>0.0177489751582853</v>
      </c>
      <c r="Z43" s="87">
        <f t="shared" si="41"/>
        <v>0.344789064113651</v>
      </c>
      <c r="AA43" s="87">
        <f t="shared" si="41"/>
        <v>0.6755710414247</v>
      </c>
      <c r="AB43" s="530">
        <f t="shared" si="41"/>
        <v>0.242730711314616</v>
      </c>
      <c r="AC43" s="87">
        <f t="shared" si="41"/>
        <v>1.12758591089874</v>
      </c>
      <c r="AD43" s="87">
        <f t="shared" si="41"/>
        <v>0.777920467629085</v>
      </c>
      <c r="AE43" s="87">
        <f t="shared" si="41"/>
        <v>0.71876885938443</v>
      </c>
      <c r="AF43" s="87">
        <f t="shared" si="41"/>
        <v>0.657347504621072</v>
      </c>
      <c r="AG43" s="530">
        <f t="shared" si="41"/>
        <v>0.770975422736995</v>
      </c>
      <c r="AH43" s="87">
        <f t="shared" si="41"/>
        <v>0.475678147316325</v>
      </c>
      <c r="AI43" s="87">
        <f t="shared" si="41"/>
        <v>0.520174848688635</v>
      </c>
      <c r="AJ43" s="87">
        <f t="shared" si="41"/>
        <v>0.32717490085922</v>
      </c>
      <c r="AK43" s="87">
        <f t="shared" si="41"/>
        <v>0.456977554719085</v>
      </c>
      <c r="AL43" s="530">
        <f t="shared" si="41"/>
        <v>0.441522533403216</v>
      </c>
      <c r="AM43" s="87">
        <f t="shared" si="41"/>
        <v>0.433229742907397</v>
      </c>
      <c r="AN43" s="87">
        <f t="shared" ref="AN43:BS43" si="42">AN42/AI42-1</f>
        <v>0.275979584982018</v>
      </c>
      <c r="AO43" s="87">
        <f t="shared" si="42"/>
        <v>0.364064335903761</v>
      </c>
      <c r="AP43" s="87">
        <f t="shared" si="42"/>
        <v>0.313317513324211</v>
      </c>
      <c r="AQ43" s="530">
        <f t="shared" si="42"/>
        <v>0.339877925613665</v>
      </c>
      <c r="AR43" s="87">
        <f t="shared" si="42"/>
        <v>0.0855949231864894</v>
      </c>
      <c r="AS43" s="87">
        <f t="shared" si="42"/>
        <v>0.193894257006196</v>
      </c>
      <c r="AT43" s="87">
        <f t="shared" si="42"/>
        <v>0.167176269252709</v>
      </c>
      <c r="AU43" s="87">
        <f t="shared" si="42"/>
        <v>0.0156025165114191</v>
      </c>
      <c r="AV43" s="530">
        <f t="shared" si="42"/>
        <v>0.10126817911293</v>
      </c>
      <c r="AW43" s="87">
        <f t="shared" si="42"/>
        <v>0.14654561429199</v>
      </c>
      <c r="AX43" s="87">
        <f t="shared" si="42"/>
        <v>0.0611492027641098</v>
      </c>
      <c r="AY43" s="87">
        <f t="shared" si="42"/>
        <v>0.0316804003792654</v>
      </c>
      <c r="AZ43" s="87">
        <f t="shared" si="42"/>
        <v>0.112095125363176</v>
      </c>
      <c r="BA43" s="530">
        <f t="shared" si="42"/>
        <v>0.088211066617782</v>
      </c>
      <c r="BB43" s="87">
        <f t="shared" si="42"/>
        <v>0.0517665931011937</v>
      </c>
      <c r="BC43" s="87">
        <f t="shared" si="42"/>
        <v>0.0744909439202133</v>
      </c>
      <c r="BD43" s="87">
        <f t="shared" si="42"/>
        <v>0.0649444781323432</v>
      </c>
      <c r="BE43" s="87">
        <f t="shared" si="42"/>
        <v>0.143290726065262</v>
      </c>
      <c r="BF43" s="530">
        <f t="shared" si="42"/>
        <v>0.0907764335251264</v>
      </c>
      <c r="BG43" s="87">
        <f t="shared" si="42"/>
        <v>0.161523628185761</v>
      </c>
      <c r="BH43" s="87">
        <f t="shared" si="42"/>
        <v>0.19873128168848</v>
      </c>
      <c r="BI43" s="87">
        <f t="shared" si="42"/>
        <v>0.238566350974435</v>
      </c>
      <c r="BJ43" s="87">
        <f t="shared" si="42"/>
        <v>0.207161738610364</v>
      </c>
      <c r="BK43" s="530">
        <f t="shared" si="42"/>
        <v>0.203026376751714</v>
      </c>
      <c r="BL43" s="87">
        <f t="shared" si="42"/>
        <v>0.0969468617619633</v>
      </c>
      <c r="BM43" s="87">
        <f t="shared" si="42"/>
        <v>0.179040057286524</v>
      </c>
      <c r="BN43" s="87">
        <f t="shared" si="42"/>
        <v>0.160653099926013</v>
      </c>
      <c r="BO43" s="87">
        <f t="shared" si="42"/>
        <v>0.220774061168641</v>
      </c>
      <c r="BP43" s="530">
        <f t="shared" si="42"/>
        <v>0.173281138896831</v>
      </c>
      <c r="BQ43" s="87">
        <f t="shared" si="42"/>
        <v>0.314199775841167</v>
      </c>
      <c r="BR43" s="87">
        <f t="shared" si="42"/>
        <v>0.322118625402948</v>
      </c>
      <c r="BS43" s="87">
        <f t="shared" si="42"/>
        <v>0.2587635692978</v>
      </c>
      <c r="BT43" s="87">
        <f t="shared" ref="BT43:CR43" si="43">BT42/BO42-1</f>
        <v>0.279908034182798</v>
      </c>
      <c r="BU43" s="530">
        <f t="shared" si="43"/>
        <v>0.290445815523827</v>
      </c>
      <c r="BV43" s="87">
        <f t="shared" si="43"/>
        <v>0.223323557651864</v>
      </c>
      <c r="BW43" s="87">
        <f t="shared" si="43"/>
        <v>0.226156882739264</v>
      </c>
      <c r="BX43" s="87">
        <f t="shared" si="43"/>
        <v>0.241574621967319</v>
      </c>
      <c r="BY43" s="87">
        <f t="shared" si="43"/>
        <v>0.212752941669172</v>
      </c>
      <c r="BZ43" s="530">
        <f t="shared" si="43"/>
        <v>0.224138035453648</v>
      </c>
      <c r="CA43" s="87">
        <f t="shared" si="43"/>
        <v>-0.207052072465143</v>
      </c>
      <c r="CB43" s="87">
        <f t="shared" si="43"/>
        <v>0.00762665810340146</v>
      </c>
      <c r="CC43" s="87">
        <f t="shared" si="43"/>
        <v>0.24217691923872</v>
      </c>
      <c r="CD43" s="87">
        <f t="shared" si="43"/>
        <v>0.249015201781887</v>
      </c>
      <c r="CE43" s="530">
        <f t="shared" si="43"/>
        <v>0.108215577502062</v>
      </c>
      <c r="CF43" s="87">
        <f t="shared" si="43"/>
        <v>1.09422790533549</v>
      </c>
      <c r="CG43" s="87">
        <f t="shared" si="43"/>
        <v>0.721520487190016</v>
      </c>
      <c r="CH43" s="87">
        <f t="shared" si="43"/>
        <v>0.322049433015491</v>
      </c>
      <c r="CI43" s="87">
        <f t="shared" si="43"/>
        <v>0.220628516471255</v>
      </c>
      <c r="CJ43" s="530">
        <f t="shared" si="43"/>
        <v>0.46452036553705</v>
      </c>
      <c r="CK43" s="87">
        <f t="shared" si="43"/>
        <v>0.24286105946761</v>
      </c>
      <c r="CL43" s="87">
        <f t="shared" si="43"/>
        <v>0.252513985043065</v>
      </c>
      <c r="CM43" s="87">
        <f t="shared" si="43"/>
        <v>0.252544933463388</v>
      </c>
      <c r="CN43" s="87">
        <f t="shared" si="43"/>
        <v>0.286671272282498</v>
      </c>
      <c r="CO43" s="530">
        <f t="shared" si="43"/>
        <v>0.262348883836095</v>
      </c>
      <c r="CP43" s="87">
        <f t="shared" si="43"/>
        <v>0.322167113016764</v>
      </c>
      <c r="CQ43" s="87">
        <f t="shared" si="43"/>
        <v>0.230261038621437</v>
      </c>
      <c r="CR43" s="87">
        <f t="shared" si="43"/>
        <v>0.232488362153608</v>
      </c>
      <c r="CS43" s="87">
        <f t="shared" ref="CS43:DB43" si="44">CS42/CN42-1</f>
        <v>0.196710942839162</v>
      </c>
      <c r="CT43" s="530">
        <f t="shared" si="44"/>
        <v>0.236615277081393</v>
      </c>
      <c r="CU43" s="87">
        <f t="shared" si="44"/>
        <v>0.107979197170676</v>
      </c>
      <c r="CV43" s="87">
        <f t="shared" si="44"/>
        <v>0.087541807501053</v>
      </c>
      <c r="CW43" s="87">
        <f t="shared" si="44"/>
        <v>0.0946856892483674</v>
      </c>
      <c r="CX43" s="87">
        <f t="shared" si="44"/>
        <v>0.146329379933541</v>
      </c>
      <c r="CY43" s="530">
        <f t="shared" ref="CY43:DE43" si="45">CY42/CT42-1</f>
        <v>0.113205058516479</v>
      </c>
      <c r="CZ43" s="87">
        <f t="shared" si="44"/>
        <v>0.0847468527168744</v>
      </c>
      <c r="DA43" s="87">
        <f t="shared" si="44"/>
        <v>0.0460400018411187</v>
      </c>
      <c r="DB43" s="87">
        <f t="shared" si="44"/>
        <v>0.0173443892220784</v>
      </c>
      <c r="DC43" s="87">
        <f t="shared" si="45"/>
        <v>-0.0843574927404452</v>
      </c>
      <c r="DD43" s="530">
        <f t="shared" si="45"/>
        <v>0.00212428663533326</v>
      </c>
      <c r="DE43" s="87">
        <f t="shared" si="45"/>
        <v>-0.0320346808606011</v>
      </c>
      <c r="DF43" s="87">
        <f t="shared" ref="DF43:DN43" si="46">DF42/DA42-1</f>
        <v>-0.0103736658899732</v>
      </c>
      <c r="DG43" s="87">
        <f t="shared" si="46"/>
        <v>-0.138157338746766</v>
      </c>
      <c r="DH43" s="87">
        <f t="shared" si="46"/>
        <v>-0.103555149335744</v>
      </c>
      <c r="DI43" s="530">
        <f t="shared" si="46"/>
        <v>-0.073761077907422</v>
      </c>
      <c r="DJ43" s="87">
        <f t="shared" si="46"/>
        <v>-0.039436160799119</v>
      </c>
      <c r="DK43" s="87">
        <f t="shared" si="46"/>
        <v>-0.118442674052712</v>
      </c>
      <c r="DL43" s="87">
        <f t="shared" si="46"/>
        <v>-0.00732337371047753</v>
      </c>
      <c r="DM43" s="87">
        <f t="shared" si="46"/>
        <v>-0.0157979060504048</v>
      </c>
      <c r="DN43" s="530">
        <f t="shared" si="46"/>
        <v>-0.0452255839594294</v>
      </c>
      <c r="DO43" s="87">
        <f t="shared" ref="DO43" si="47">DO42/DJ42-1</f>
        <v>0.011245141613714</v>
      </c>
      <c r="DP43" s="87">
        <f t="shared" ref="DP43" si="48">DP42/DK42-1</f>
        <v>0.00956343058096132</v>
      </c>
      <c r="DQ43" s="87">
        <f t="shared" ref="DQ43" si="49">DQ42/DL42-1</f>
        <v>0.0138870254137564</v>
      </c>
      <c r="DR43" s="87">
        <f t="shared" ref="DR43" si="50">DR42/DM42-1</f>
        <v>0.00441557519070424</v>
      </c>
      <c r="DS43" s="530">
        <f t="shared" ref="DS43" si="51">DS42/DN42-1</f>
        <v>0.00926886614055777</v>
      </c>
    </row>
    <row r="44" spans="1:123">
      <c r="A44" s="6"/>
      <c r="B44" s="144" t="s">
        <v>72</v>
      </c>
      <c r="C44" s="140">
        <f t="shared" ref="C44:AH44" si="52">C42/C$37</f>
        <v>0.522736754276178</v>
      </c>
      <c r="D44" s="141">
        <f t="shared" si="52"/>
        <v>0.474920025591811</v>
      </c>
      <c r="E44" s="141">
        <f t="shared" si="52"/>
        <v>0.53637743781385</v>
      </c>
      <c r="F44" s="141">
        <f t="shared" si="52"/>
        <v>0.51896517213771</v>
      </c>
      <c r="G44" s="141">
        <f t="shared" si="52"/>
        <v>0.508842737188998</v>
      </c>
      <c r="H44" s="140">
        <f t="shared" si="52"/>
        <v>0.510550042421116</v>
      </c>
      <c r="I44" s="141">
        <f t="shared" si="52"/>
        <v>0.51518592108998</v>
      </c>
      <c r="J44" s="141">
        <f t="shared" si="52"/>
        <v>0.489069756635494</v>
      </c>
      <c r="K44" s="141">
        <f t="shared" si="52"/>
        <v>0.521029876459699</v>
      </c>
      <c r="L44" s="141">
        <f t="shared" si="52"/>
        <v>0.51360381809469</v>
      </c>
      <c r="M44" s="140">
        <f t="shared" si="52"/>
        <v>0.510338897244564</v>
      </c>
      <c r="N44" s="141">
        <f t="shared" si="52"/>
        <v>0.504826135865548</v>
      </c>
      <c r="O44" s="141">
        <f t="shared" si="52"/>
        <v>0.532487650505418</v>
      </c>
      <c r="P44" s="141">
        <f t="shared" si="52"/>
        <v>0.542407681418733</v>
      </c>
      <c r="Q44" s="141">
        <f t="shared" si="52"/>
        <v>0.538229534381891</v>
      </c>
      <c r="R44" s="140">
        <f t="shared" si="52"/>
        <v>0.532562995997049</v>
      </c>
      <c r="S44" s="141">
        <f t="shared" si="52"/>
        <v>0.531198671918534</v>
      </c>
      <c r="T44" s="141">
        <f t="shared" si="52"/>
        <v>0.519117603724374</v>
      </c>
      <c r="U44" s="141">
        <f t="shared" si="52"/>
        <v>0.481274415292359</v>
      </c>
      <c r="V44" s="141">
        <f t="shared" si="52"/>
        <v>0.497108380404346</v>
      </c>
      <c r="W44" s="140">
        <f t="shared" si="52"/>
        <v>0.506041587880421</v>
      </c>
      <c r="X44" s="141">
        <f t="shared" si="52"/>
        <v>0.42787708129285</v>
      </c>
      <c r="Y44" s="141">
        <f t="shared" si="52"/>
        <v>0.462172920866549</v>
      </c>
      <c r="Z44" s="141">
        <f t="shared" si="52"/>
        <v>0.499047754028222</v>
      </c>
      <c r="AA44" s="141">
        <f t="shared" si="52"/>
        <v>0.538958693946677</v>
      </c>
      <c r="AB44" s="140">
        <f t="shared" si="52"/>
        <v>0.492408886769206</v>
      </c>
      <c r="AC44" s="141">
        <f t="shared" si="52"/>
        <v>0.537661699096871</v>
      </c>
      <c r="AD44" s="141">
        <f t="shared" si="52"/>
        <v>0.527554399243141</v>
      </c>
      <c r="AE44" s="141">
        <f t="shared" si="52"/>
        <v>0.550807736063709</v>
      </c>
      <c r="AF44" s="141">
        <f t="shared" si="52"/>
        <v>0.584598959245963</v>
      </c>
      <c r="AG44" s="140">
        <f t="shared" si="52"/>
        <v>0.554931544574711</v>
      </c>
      <c r="AH44" s="141">
        <f t="shared" si="52"/>
        <v>0.587466538173252</v>
      </c>
      <c r="AI44" s="141">
        <f t="shared" ref="AI44:BN44" si="53">AI42/AI$37</f>
        <v>0.574911808894938</v>
      </c>
      <c r="AJ44" s="141">
        <f t="shared" si="53"/>
        <v>0.558227925079056</v>
      </c>
      <c r="AK44" s="141">
        <f t="shared" si="53"/>
        <v>0.562602282515073</v>
      </c>
      <c r="AL44" s="140">
        <f t="shared" si="53"/>
        <v>0.568847736748868</v>
      </c>
      <c r="AM44" s="141">
        <f t="shared" si="53"/>
        <v>0.550455375956429</v>
      </c>
      <c r="AN44" s="141">
        <f t="shared" si="53"/>
        <v>0.551083733733379</v>
      </c>
      <c r="AO44" s="141">
        <f t="shared" si="53"/>
        <v>0.553805716235385</v>
      </c>
      <c r="AP44" s="141">
        <f t="shared" si="53"/>
        <v>0.565423727417099</v>
      </c>
      <c r="AQ44" s="140">
        <f t="shared" si="53"/>
        <v>0.556661835812248</v>
      </c>
      <c r="AR44" s="141">
        <f t="shared" si="53"/>
        <v>0.493735937671712</v>
      </c>
      <c r="AS44" s="141">
        <f t="shared" si="53"/>
        <v>0.539761924803999</v>
      </c>
      <c r="AT44" s="141">
        <f t="shared" si="53"/>
        <v>0.538578573308765</v>
      </c>
      <c r="AU44" s="141">
        <f t="shared" si="53"/>
        <v>0.535112755833572</v>
      </c>
      <c r="AV44" s="140">
        <f t="shared" si="53"/>
        <v>0.527955213337456</v>
      </c>
      <c r="AW44" s="141">
        <f t="shared" si="53"/>
        <v>0.508930939269613</v>
      </c>
      <c r="AX44" s="141">
        <f t="shared" si="53"/>
        <v>0.505022688475585</v>
      </c>
      <c r="AY44" s="141">
        <f t="shared" si="53"/>
        <v>0.503314290074297</v>
      </c>
      <c r="AZ44" s="141">
        <f t="shared" si="53"/>
        <v>0.514598558318713</v>
      </c>
      <c r="BA44" s="140">
        <f t="shared" si="53"/>
        <v>0.50866536131221</v>
      </c>
      <c r="BB44" s="141">
        <f t="shared" si="53"/>
        <v>0.486081729407098</v>
      </c>
      <c r="BC44" s="141">
        <f t="shared" si="53"/>
        <v>0.468036025694797</v>
      </c>
      <c r="BD44" s="141">
        <f t="shared" si="53"/>
        <v>0.46862680923007</v>
      </c>
      <c r="BE44" s="141">
        <f t="shared" si="53"/>
        <v>0.503306942164719</v>
      </c>
      <c r="BF44" s="140">
        <f t="shared" si="53"/>
        <v>0.483938301101225</v>
      </c>
      <c r="BG44" s="141">
        <f t="shared" si="53"/>
        <v>0.482589865917549</v>
      </c>
      <c r="BH44" s="141">
        <f t="shared" si="53"/>
        <v>0.493976910518542</v>
      </c>
      <c r="BI44" s="141">
        <f t="shared" si="53"/>
        <v>0.511421413037089</v>
      </c>
      <c r="BJ44" s="141">
        <f t="shared" si="53"/>
        <v>0.541685444464136</v>
      </c>
      <c r="BK44" s="140">
        <f t="shared" si="53"/>
        <v>0.511696422782538</v>
      </c>
      <c r="BL44" s="141">
        <f t="shared" si="53"/>
        <v>0.504152356205087</v>
      </c>
      <c r="BM44" s="141">
        <f t="shared" si="53"/>
        <v>0.515728314407955</v>
      </c>
      <c r="BN44" s="141">
        <f t="shared" si="53"/>
        <v>0.522032715488972</v>
      </c>
      <c r="BO44" s="141">
        <f t="shared" ref="BO44:CI44" si="54">BO42/BO$37</f>
        <v>0.562410502992026</v>
      </c>
      <c r="BP44" s="140">
        <f t="shared" si="54"/>
        <v>0.531291746392564</v>
      </c>
      <c r="BQ44" s="141">
        <f t="shared" si="54"/>
        <v>0.530598455301321</v>
      </c>
      <c r="BR44" s="141">
        <f t="shared" si="54"/>
        <v>0.547607463718037</v>
      </c>
      <c r="BS44" s="141">
        <f t="shared" si="54"/>
        <v>0.54407046030589</v>
      </c>
      <c r="BT44" s="141">
        <f t="shared" si="54"/>
        <v>0.572682700362668</v>
      </c>
      <c r="BU44" s="140">
        <f t="shared" si="54"/>
        <v>0.552345134398457</v>
      </c>
      <c r="BV44" s="141">
        <f t="shared" si="54"/>
        <v>0.539066744214287</v>
      </c>
      <c r="BW44" s="141">
        <f t="shared" si="54"/>
        <v>0.549946114346263</v>
      </c>
      <c r="BX44" s="141">
        <f t="shared" si="54"/>
        <v>0.551275026251504</v>
      </c>
      <c r="BY44" s="141">
        <f t="shared" si="54"/>
        <v>0.58020123206518</v>
      </c>
      <c r="BZ44" s="140">
        <f t="shared" si="54"/>
        <v>0.558738530634564</v>
      </c>
      <c r="CA44" s="141">
        <f t="shared" si="54"/>
        <v>0.512916396967921</v>
      </c>
      <c r="CB44" s="141">
        <f t="shared" si="54"/>
        <v>0.542117876895748</v>
      </c>
      <c r="CC44" s="141">
        <f t="shared" si="54"/>
        <v>0.56142778134749</v>
      </c>
      <c r="CD44" s="141">
        <f t="shared" si="54"/>
        <v>0.585547685814229</v>
      </c>
      <c r="CE44" s="140">
        <f t="shared" si="54"/>
        <v>0.559758784882823</v>
      </c>
      <c r="CF44" s="141">
        <f t="shared" si="54"/>
        <v>0.571002026148321</v>
      </c>
      <c r="CG44" s="141">
        <f t="shared" si="54"/>
        <v>0.580915168569534</v>
      </c>
      <c r="CH44" s="141">
        <f t="shared" si="54"/>
        <v>0.571829144779343</v>
      </c>
      <c r="CI44" s="141">
        <f t="shared" si="54"/>
        <v>0.58060422344892</v>
      </c>
      <c r="CJ44" s="140">
        <f t="shared" ref="CJ44:CO44" si="55">CJ42/CJ$37</f>
        <v>0.576759772893242</v>
      </c>
      <c r="CK44" s="141">
        <f t="shared" si="55"/>
        <v>0.539456436249235</v>
      </c>
      <c r="CL44" s="141">
        <f t="shared" si="55"/>
        <v>0.564930783031673</v>
      </c>
      <c r="CM44" s="141">
        <f t="shared" si="55"/>
        <v>0.559458319802638</v>
      </c>
      <c r="CN44" s="141">
        <f t="shared" si="55"/>
        <v>0.573823939205682</v>
      </c>
      <c r="CO44" s="140">
        <f t="shared" si="55"/>
        <v>0.561649453216182</v>
      </c>
      <c r="CP44" s="141">
        <f t="shared" ref="CP44:DI44" si="56">CP42/CP$37</f>
        <v>0.575174730806601</v>
      </c>
      <c r="CQ44" s="141">
        <f t="shared" si="56"/>
        <v>0.587783619602882</v>
      </c>
      <c r="CR44" s="141">
        <f t="shared" si="56"/>
        <v>0.580874033330641</v>
      </c>
      <c r="CS44" s="141">
        <f t="shared" si="56"/>
        <v>0.593873270219397</v>
      </c>
      <c r="CT44" s="140">
        <f t="shared" si="56"/>
        <v>0.585606736804987</v>
      </c>
      <c r="CU44" s="141">
        <f t="shared" si="56"/>
        <v>0.577243512694832</v>
      </c>
      <c r="CV44" s="141">
        <f t="shared" si="56"/>
        <v>0.595587745320905</v>
      </c>
      <c r="CW44" s="141">
        <f t="shared" si="56"/>
        <v>0.584816369447481</v>
      </c>
      <c r="CX44" s="141">
        <f t="shared" ref="CX44" si="57">CX42/CX$37</f>
        <v>0.604168299184521</v>
      </c>
      <c r="CY44" s="140">
        <f t="shared" si="56"/>
        <v>0.592249374440765</v>
      </c>
      <c r="CZ44" s="141">
        <f t="shared" ref="CZ44:DA44" si="58">CZ42/CZ$37</f>
        <v>0.583434992786819</v>
      </c>
      <c r="DA44" s="141">
        <f t="shared" si="58"/>
        <v>0.58497975819127</v>
      </c>
      <c r="DB44" s="141">
        <f t="shared" ref="DB44" si="59">DB42/DB$37</f>
        <v>0.555713350377253</v>
      </c>
      <c r="DC44" s="141">
        <f t="shared" si="56"/>
        <v>0.548749574612839</v>
      </c>
      <c r="DD44" s="140">
        <f t="shared" si="56"/>
        <v>0.566005440167168</v>
      </c>
      <c r="DE44" s="141">
        <f t="shared" si="56"/>
        <v>0.541680035183644</v>
      </c>
      <c r="DF44" s="141">
        <f t="shared" si="56"/>
        <v>0.605174383008001</v>
      </c>
      <c r="DG44" s="141">
        <f t="shared" si="56"/>
        <v>0.530713350377253</v>
      </c>
      <c r="DH44" s="141">
        <f t="shared" si="56"/>
        <v>0.548749574612839</v>
      </c>
      <c r="DI44" s="140">
        <f t="shared" si="56"/>
        <v>0.556112412327286</v>
      </c>
      <c r="DJ44" s="141">
        <f t="shared" ref="DJ44:DN44" si="60">DJ42/DJ$37</f>
        <v>0.544680035183644</v>
      </c>
      <c r="DK44" s="141">
        <f t="shared" si="60"/>
        <v>0.553174383008001</v>
      </c>
      <c r="DL44" s="141">
        <f t="shared" si="60"/>
        <v>0.529213350377253</v>
      </c>
      <c r="DM44" s="141">
        <f t="shared" si="60"/>
        <v>0.547249574612839</v>
      </c>
      <c r="DN44" s="140">
        <f t="shared" si="60"/>
        <v>0.543937424042</v>
      </c>
      <c r="DO44" s="141">
        <f t="shared" ref="DO44:DS44" si="61">DO42/DO$37</f>
        <v>0.543680035183644</v>
      </c>
      <c r="DP44" s="141">
        <f t="shared" si="61"/>
        <v>0.552174383008001</v>
      </c>
      <c r="DQ44" s="141">
        <f t="shared" si="61"/>
        <v>0.528213350377253</v>
      </c>
      <c r="DR44" s="141">
        <f t="shared" si="61"/>
        <v>0.546249574612839</v>
      </c>
      <c r="DS44" s="140">
        <f t="shared" si="61"/>
        <v>0.54291790552823</v>
      </c>
    </row>
    <row r="45" spans="1:123">
      <c r="A45" s="6"/>
      <c r="B45" s="536" t="s">
        <v>73</v>
      </c>
      <c r="C45" s="74"/>
      <c r="D45" s="6"/>
      <c r="E45" s="6"/>
      <c r="F45" s="6"/>
      <c r="G45" s="6"/>
      <c r="H45" s="537">
        <f t="shared" ref="H45:AM45" si="62">(H44-C44)*100*100</f>
        <v>-121.867118550626</v>
      </c>
      <c r="I45" s="538">
        <f t="shared" si="62"/>
        <v>402.658954981697</v>
      </c>
      <c r="J45" s="538">
        <f t="shared" si="62"/>
        <v>-473.076811783565</v>
      </c>
      <c r="K45" s="538">
        <f t="shared" si="62"/>
        <v>20.6470432198846</v>
      </c>
      <c r="L45" s="538">
        <f t="shared" si="62"/>
        <v>47.6108090569272</v>
      </c>
      <c r="M45" s="537">
        <f t="shared" si="62"/>
        <v>-2.1114517655163</v>
      </c>
      <c r="N45" s="538">
        <f t="shared" si="62"/>
        <v>-103.597852244318</v>
      </c>
      <c r="O45" s="538">
        <f t="shared" si="62"/>
        <v>434.178938699242</v>
      </c>
      <c r="P45" s="538">
        <f t="shared" si="62"/>
        <v>213.778049590346</v>
      </c>
      <c r="Q45" s="538">
        <f t="shared" si="62"/>
        <v>246.257162872009</v>
      </c>
      <c r="R45" s="537">
        <f t="shared" si="62"/>
        <v>222.240987524845</v>
      </c>
      <c r="S45" s="538">
        <f t="shared" si="62"/>
        <v>263.72536052986</v>
      </c>
      <c r="T45" s="538">
        <f t="shared" si="62"/>
        <v>-133.700467810441</v>
      </c>
      <c r="U45" s="538">
        <f t="shared" si="62"/>
        <v>-611.332661263747</v>
      </c>
      <c r="V45" s="538">
        <f t="shared" si="62"/>
        <v>-411.211539775456</v>
      </c>
      <c r="W45" s="537">
        <f t="shared" si="62"/>
        <v>-265.214081166275</v>
      </c>
      <c r="X45" s="538">
        <f t="shared" si="62"/>
        <v>-1033.21590625684</v>
      </c>
      <c r="Y45" s="538">
        <f t="shared" si="62"/>
        <v>-569.446828578251</v>
      </c>
      <c r="Z45" s="538">
        <f t="shared" si="62"/>
        <v>177.733387358634</v>
      </c>
      <c r="AA45" s="538">
        <f t="shared" si="62"/>
        <v>418.503135423313</v>
      </c>
      <c r="AB45" s="537">
        <f t="shared" si="62"/>
        <v>-136.32701111215</v>
      </c>
      <c r="AC45" s="538">
        <f t="shared" si="62"/>
        <v>1097.84617804021</v>
      </c>
      <c r="AD45" s="538">
        <f t="shared" si="62"/>
        <v>653.814783765923</v>
      </c>
      <c r="AE45" s="538">
        <f t="shared" si="62"/>
        <v>517.599820354869</v>
      </c>
      <c r="AF45" s="538">
        <f t="shared" si="62"/>
        <v>456.402652992858</v>
      </c>
      <c r="AG45" s="537">
        <f t="shared" si="62"/>
        <v>625.226578055045</v>
      </c>
      <c r="AH45" s="538">
        <f t="shared" si="62"/>
        <v>498.048390763808</v>
      </c>
      <c r="AI45" s="538">
        <f t="shared" si="62"/>
        <v>473.574096517975</v>
      </c>
      <c r="AJ45" s="538">
        <f t="shared" si="62"/>
        <v>74.2018901534736</v>
      </c>
      <c r="AK45" s="538">
        <f t="shared" si="62"/>
        <v>-219.966767308896</v>
      </c>
      <c r="AL45" s="537">
        <f t="shared" si="62"/>
        <v>139.161921741569</v>
      </c>
      <c r="AM45" s="538">
        <f t="shared" si="62"/>
        <v>-370.111622168225</v>
      </c>
      <c r="AN45" s="538">
        <f t="shared" ref="AN45:BL45" si="63">(AN44-AI44)*100*100</f>
        <v>-238.280751615589</v>
      </c>
      <c r="AO45" s="538">
        <f t="shared" si="63"/>
        <v>-44.2220884367128</v>
      </c>
      <c r="AP45" s="538">
        <f t="shared" si="63"/>
        <v>28.2144490202585</v>
      </c>
      <c r="AQ45" s="537">
        <f t="shared" si="63"/>
        <v>-121.859009366201</v>
      </c>
      <c r="AR45" s="538">
        <f t="shared" si="63"/>
        <v>-567.194382847171</v>
      </c>
      <c r="AS45" s="538">
        <f t="shared" si="63"/>
        <v>-113.218089293808</v>
      </c>
      <c r="AT45" s="538">
        <f t="shared" si="63"/>
        <v>-152.271429266194</v>
      </c>
      <c r="AU45" s="538">
        <f t="shared" si="63"/>
        <v>-303.109715835272</v>
      </c>
      <c r="AV45" s="537">
        <f t="shared" si="63"/>
        <v>-287.066224747915</v>
      </c>
      <c r="AW45" s="538">
        <f t="shared" si="63"/>
        <v>151.950015979007</v>
      </c>
      <c r="AX45" s="538">
        <f t="shared" si="63"/>
        <v>-347.392363284134</v>
      </c>
      <c r="AY45" s="538">
        <f t="shared" si="63"/>
        <v>-352.642832344682</v>
      </c>
      <c r="AZ45" s="538">
        <f t="shared" si="63"/>
        <v>-205.141975148583</v>
      </c>
      <c r="BA45" s="537">
        <f t="shared" si="63"/>
        <v>-192.898520252466</v>
      </c>
      <c r="BB45" s="538">
        <f t="shared" si="63"/>
        <v>-228.492098625147</v>
      </c>
      <c r="BC45" s="538">
        <f t="shared" si="63"/>
        <v>-369.866627807882</v>
      </c>
      <c r="BD45" s="538">
        <f t="shared" si="63"/>
        <v>-346.874808442272</v>
      </c>
      <c r="BE45" s="538">
        <f t="shared" si="63"/>
        <v>-112.91616153994</v>
      </c>
      <c r="BF45" s="537">
        <f t="shared" si="63"/>
        <v>-247.270602109842</v>
      </c>
      <c r="BG45" s="538">
        <f t="shared" si="63"/>
        <v>-34.9186348954972</v>
      </c>
      <c r="BH45" s="538">
        <f t="shared" si="63"/>
        <v>259.408848237445</v>
      </c>
      <c r="BI45" s="538">
        <f t="shared" si="63"/>
        <v>427.946038070193</v>
      </c>
      <c r="BJ45" s="538">
        <f t="shared" si="63"/>
        <v>383.78502299417</v>
      </c>
      <c r="BK45" s="537">
        <f t="shared" si="63"/>
        <v>277.581216813128</v>
      </c>
      <c r="BL45" s="538">
        <f t="shared" si="63"/>
        <v>215.62490287538</v>
      </c>
      <c r="BM45" s="538">
        <f t="shared" ref="BM45:DF45" si="64">(BM44-BH44)*100*100</f>
        <v>217.514038894137</v>
      </c>
      <c r="BN45" s="538">
        <f t="shared" si="64"/>
        <v>106.113024518824</v>
      </c>
      <c r="BO45" s="538">
        <f t="shared" si="64"/>
        <v>207.250585278899</v>
      </c>
      <c r="BP45" s="537">
        <f t="shared" si="64"/>
        <v>195.953236100263</v>
      </c>
      <c r="BQ45" s="538">
        <f t="shared" si="64"/>
        <v>264.460990962343</v>
      </c>
      <c r="BR45" s="538">
        <f t="shared" si="64"/>
        <v>318.791493100821</v>
      </c>
      <c r="BS45" s="538">
        <f t="shared" si="64"/>
        <v>220.377448169181</v>
      </c>
      <c r="BT45" s="538">
        <f t="shared" si="64"/>
        <v>102.72197370642</v>
      </c>
      <c r="BU45" s="537">
        <f t="shared" si="64"/>
        <v>210.533880058927</v>
      </c>
      <c r="BV45" s="538">
        <f t="shared" si="64"/>
        <v>84.6828891296625</v>
      </c>
      <c r="BW45" s="538">
        <f t="shared" si="64"/>
        <v>23.3865062822547</v>
      </c>
      <c r="BX45" s="538">
        <f t="shared" si="64"/>
        <v>72.0456594561381</v>
      </c>
      <c r="BY45" s="538">
        <f t="shared" si="64"/>
        <v>75.1853170251138</v>
      </c>
      <c r="BZ45" s="537">
        <f t="shared" si="64"/>
        <v>63.9339623610724</v>
      </c>
      <c r="CA45" s="539">
        <f t="shared" si="64"/>
        <v>-261.503472463657</v>
      </c>
      <c r="CB45" s="539">
        <f t="shared" si="64"/>
        <v>-78.2823745051531</v>
      </c>
      <c r="CC45" s="539">
        <f t="shared" si="64"/>
        <v>101.52755095986</v>
      </c>
      <c r="CD45" s="539">
        <f t="shared" si="64"/>
        <v>53.4645374904941</v>
      </c>
      <c r="CE45" s="537">
        <f t="shared" si="64"/>
        <v>10.2025424825847</v>
      </c>
      <c r="CF45" s="539">
        <f t="shared" si="64"/>
        <v>580.856291803992</v>
      </c>
      <c r="CG45" s="539">
        <f t="shared" si="64"/>
        <v>387.972916737862</v>
      </c>
      <c r="CH45" s="539">
        <f t="shared" si="64"/>
        <v>104.013634318537</v>
      </c>
      <c r="CI45" s="539">
        <f t="shared" si="64"/>
        <v>-49.434623653094</v>
      </c>
      <c r="CJ45" s="537">
        <f t="shared" si="64"/>
        <v>170.009880104196</v>
      </c>
      <c r="CK45" s="540">
        <f t="shared" si="64"/>
        <v>-315.455898990853</v>
      </c>
      <c r="CL45" s="540">
        <f t="shared" si="64"/>
        <v>-159.843855378604</v>
      </c>
      <c r="CM45" s="540">
        <f t="shared" si="64"/>
        <v>-123.708249767057</v>
      </c>
      <c r="CN45" s="540">
        <f t="shared" si="64"/>
        <v>-67.802842432374</v>
      </c>
      <c r="CO45" s="541">
        <f t="shared" si="64"/>
        <v>-151.103196770607</v>
      </c>
      <c r="CP45" s="540">
        <f t="shared" si="64"/>
        <v>357.182945573652</v>
      </c>
      <c r="CQ45" s="540">
        <f t="shared" si="64"/>
        <v>228.528365712083</v>
      </c>
      <c r="CR45" s="540">
        <f t="shared" si="64"/>
        <v>214.157135280039</v>
      </c>
      <c r="CS45" s="540">
        <f t="shared" si="64"/>
        <v>200.493310137146</v>
      </c>
      <c r="CT45" s="541">
        <f t="shared" si="64"/>
        <v>239.572835888051</v>
      </c>
      <c r="CU45" s="540">
        <f t="shared" si="64"/>
        <v>20.6878188823145</v>
      </c>
      <c r="CV45" s="540">
        <f t="shared" si="64"/>
        <v>78.0412571802302</v>
      </c>
      <c r="CW45" s="540">
        <f t="shared" si="64"/>
        <v>39.4233611683958</v>
      </c>
      <c r="CX45" s="540">
        <f t="shared" si="64"/>
        <v>102.95028965124</v>
      </c>
      <c r="CY45" s="541">
        <f t="shared" si="64"/>
        <v>66.426376357781</v>
      </c>
      <c r="CZ45" s="540">
        <f t="shared" si="64"/>
        <v>61.9148009198678</v>
      </c>
      <c r="DA45" s="540">
        <f t="shared" si="64"/>
        <v>-106.07987129635</v>
      </c>
      <c r="DB45" s="540">
        <f t="shared" si="64"/>
        <v>-291.030190702284</v>
      </c>
      <c r="DC45" s="540">
        <f t="shared" si="64"/>
        <v>-554.187245716816</v>
      </c>
      <c r="DD45" s="541">
        <f t="shared" si="64"/>
        <v>-262.439342735969</v>
      </c>
      <c r="DE45" s="540">
        <f t="shared" si="64"/>
        <v>-417.549576031748</v>
      </c>
      <c r="DF45" s="540">
        <f t="shared" si="64"/>
        <v>201.946248167311</v>
      </c>
      <c r="DG45" s="542">
        <v>-250</v>
      </c>
      <c r="DH45" s="542">
        <v>0</v>
      </c>
      <c r="DI45" s="541">
        <f>(DI44-DD44)*100*100</f>
        <v>-98.9302783988233</v>
      </c>
      <c r="DJ45" s="542">
        <v>30</v>
      </c>
      <c r="DK45" s="542">
        <f>30-550</f>
        <v>-520</v>
      </c>
      <c r="DL45" s="542">
        <v>-15</v>
      </c>
      <c r="DM45" s="542">
        <v>-15</v>
      </c>
      <c r="DN45" s="541">
        <f>(DN44-DI44)*100*100</f>
        <v>-121.749882852861</v>
      </c>
      <c r="DO45" s="542">
        <v>-10</v>
      </c>
      <c r="DP45" s="542">
        <v>-10</v>
      </c>
      <c r="DQ45" s="542">
        <v>-10</v>
      </c>
      <c r="DR45" s="542">
        <v>-10</v>
      </c>
      <c r="DS45" s="541">
        <f>(DS44-DN44)*100*100</f>
        <v>-10.1951851376914</v>
      </c>
    </row>
    <row r="46" s="3" customFormat="1" spans="1:123">
      <c r="A46" s="132"/>
      <c r="B46" s="144"/>
      <c r="C46" s="530"/>
      <c r="D46" s="87"/>
      <c r="E46" s="87"/>
      <c r="F46" s="87"/>
      <c r="G46" s="87"/>
      <c r="H46" s="530"/>
      <c r="I46" s="87"/>
      <c r="J46" s="87"/>
      <c r="K46" s="87"/>
      <c r="L46" s="87"/>
      <c r="M46" s="530"/>
      <c r="N46" s="87"/>
      <c r="O46" s="87"/>
      <c r="P46" s="87"/>
      <c r="Q46" s="87"/>
      <c r="R46" s="530"/>
      <c r="S46" s="87"/>
      <c r="T46" s="87"/>
      <c r="U46" s="87"/>
      <c r="V46" s="87"/>
      <c r="W46" s="530"/>
      <c r="X46" s="87"/>
      <c r="Y46" s="87"/>
      <c r="Z46" s="87"/>
      <c r="AA46" s="87"/>
      <c r="AB46" s="530"/>
      <c r="AC46" s="87"/>
      <c r="AD46" s="87"/>
      <c r="AE46" s="87"/>
      <c r="AF46" s="87"/>
      <c r="AG46" s="530"/>
      <c r="AH46" s="87"/>
      <c r="AI46" s="87"/>
      <c r="AJ46" s="87"/>
      <c r="AK46" s="87"/>
      <c r="AL46" s="530"/>
      <c r="AM46" s="87"/>
      <c r="AN46" s="87"/>
      <c r="AO46" s="87"/>
      <c r="AP46" s="87"/>
      <c r="AQ46" s="530"/>
      <c r="AR46" s="87"/>
      <c r="AS46" s="87"/>
      <c r="AT46" s="87"/>
      <c r="AU46" s="87"/>
      <c r="AV46" s="530"/>
      <c r="AW46" s="87"/>
      <c r="AX46" s="87"/>
      <c r="AY46" s="87"/>
      <c r="AZ46" s="87"/>
      <c r="BA46" s="530"/>
      <c r="BB46" s="87"/>
      <c r="BC46" s="87"/>
      <c r="BD46" s="87"/>
      <c r="BE46" s="87"/>
      <c r="BF46" s="530"/>
      <c r="BG46" s="87"/>
      <c r="BH46" s="87"/>
      <c r="BI46" s="87"/>
      <c r="BJ46" s="87"/>
      <c r="BK46" s="530"/>
      <c r="BL46" s="87"/>
      <c r="BM46" s="87"/>
      <c r="BN46" s="87"/>
      <c r="BO46" s="87"/>
      <c r="BP46" s="530"/>
      <c r="BQ46" s="87"/>
      <c r="BR46" s="87"/>
      <c r="BS46" s="87"/>
      <c r="BT46" s="87"/>
      <c r="BU46" s="530"/>
      <c r="BV46" s="87"/>
      <c r="BW46" s="87"/>
      <c r="BX46" s="87"/>
      <c r="BY46" s="543"/>
      <c r="BZ46" s="530"/>
      <c r="CA46" s="87"/>
      <c r="CB46" s="87"/>
      <c r="CC46" s="87"/>
      <c r="CD46" s="87"/>
      <c r="CE46" s="530"/>
      <c r="CF46" s="532"/>
      <c r="CG46" s="544"/>
      <c r="CH46" s="544"/>
      <c r="CI46" s="544"/>
      <c r="CJ46" s="530"/>
      <c r="CK46" s="532"/>
      <c r="CL46" s="532"/>
      <c r="CM46" s="532"/>
      <c r="CN46" s="532"/>
      <c r="CO46" s="533"/>
      <c r="CP46" s="87"/>
      <c r="CQ46" s="87"/>
      <c r="CR46" s="87"/>
      <c r="CS46" s="87"/>
      <c r="CT46" s="530"/>
      <c r="CU46" s="87"/>
      <c r="CV46" s="87"/>
      <c r="CW46" s="87"/>
      <c r="CX46" s="87"/>
      <c r="CY46" s="530"/>
      <c r="CZ46" s="87"/>
      <c r="DA46" s="532"/>
      <c r="DB46" s="532"/>
      <c r="DC46" s="532"/>
      <c r="DD46" s="533"/>
      <c r="DE46" s="532"/>
      <c r="DF46" s="532"/>
      <c r="DG46" s="532"/>
      <c r="DH46" s="532"/>
      <c r="DI46" s="533"/>
      <c r="DJ46" s="532"/>
      <c r="DK46" s="532"/>
      <c r="DL46" s="532"/>
      <c r="DM46" s="532"/>
      <c r="DN46" s="530"/>
      <c r="DO46" s="532"/>
      <c r="DP46" s="532"/>
      <c r="DQ46" s="532"/>
      <c r="DR46" s="532"/>
      <c r="DS46" s="530"/>
    </row>
    <row r="47" spans="1:123">
      <c r="B47" s="198" t="s">
        <v>74</v>
      </c>
      <c r="C47" s="124">
        <v>-10.841</v>
      </c>
      <c r="D47" s="125">
        <v>-3.574</v>
      </c>
      <c r="E47" s="125">
        <v>-4.473</v>
      </c>
      <c r="F47" s="125">
        <v>-5.338</v>
      </c>
      <c r="G47" s="125">
        <v>-13.032738</v>
      </c>
      <c r="H47" s="124">
        <f>SUM(D47:G47)</f>
        <v>-26.417738</v>
      </c>
      <c r="I47" s="125">
        <v>-8.406</v>
      </c>
      <c r="J47" s="125">
        <v>-12.667215</v>
      </c>
      <c r="K47" s="125">
        <v>-14.045858</v>
      </c>
      <c r="L47" s="125">
        <v>-17.420925</v>
      </c>
      <c r="M47" s="124">
        <f>SUM(I47:L47)</f>
        <v>-52.539998</v>
      </c>
      <c r="N47" s="125">
        <v>-15.762698</v>
      </c>
      <c r="O47" s="125">
        <v>-21.477352</v>
      </c>
      <c r="P47" s="125">
        <v>-24.050692</v>
      </c>
      <c r="Q47" s="125">
        <v>-34.886606</v>
      </c>
      <c r="R47" s="124">
        <f>SUM(N47:Q47)</f>
        <v>-96.177348</v>
      </c>
      <c r="S47" s="125">
        <v>-29.80172</v>
      </c>
      <c r="T47" s="125">
        <v>-28.832643</v>
      </c>
      <c r="U47" s="125">
        <v>-28.838165</v>
      </c>
      <c r="V47" s="125">
        <v>-31.214</v>
      </c>
      <c r="W47" s="124">
        <f>SUM(S47:V47)</f>
        <v>-118.686528</v>
      </c>
      <c r="X47" s="125">
        <v>-25.096</v>
      </c>
      <c r="Y47" s="125">
        <v>-30.832</v>
      </c>
      <c r="Z47" s="125">
        <v>-35.412</v>
      </c>
      <c r="AA47" s="125">
        <v>-44.929</v>
      </c>
      <c r="AB47" s="124">
        <f>SUM(X47:AA47)</f>
        <v>-136.269</v>
      </c>
      <c r="AC47" s="125">
        <v>-41.883</v>
      </c>
      <c r="AD47" s="125">
        <v>-46.055</v>
      </c>
      <c r="AE47" s="125">
        <v>-54.456</v>
      </c>
      <c r="AF47" s="125">
        <f>-71.483-0.679</f>
        <v>-72.162</v>
      </c>
      <c r="AG47" s="124">
        <f>SUM(AC47:AF47)</f>
        <v>-214.556</v>
      </c>
      <c r="AH47" s="125">
        <v>-58.04</v>
      </c>
      <c r="AI47" s="125">
        <v>-62.584</v>
      </c>
      <c r="AJ47" s="125">
        <v>-68.792</v>
      </c>
      <c r="AK47" s="125">
        <v>-92.951</v>
      </c>
      <c r="AL47" s="124">
        <f>SUM(AH47:AK47)</f>
        <v>-282.367</v>
      </c>
      <c r="AM47" s="125">
        <v>-84.199</v>
      </c>
      <c r="AN47" s="125">
        <v>-85.567</v>
      </c>
      <c r="AO47" s="125">
        <v>-94.689</v>
      </c>
      <c r="AP47" s="172">
        <v>-121.932</v>
      </c>
      <c r="AQ47" s="124">
        <f>SUM(AM47:AP47)</f>
        <v>-386.387</v>
      </c>
      <c r="AR47" s="172">
        <v>-104.836</v>
      </c>
      <c r="AS47" s="172">
        <v>-106.969</v>
      </c>
      <c r="AT47" s="172">
        <v>-112.27</v>
      </c>
      <c r="AU47" s="172">
        <v>-124.643</v>
      </c>
      <c r="AV47" s="124">
        <f>SUM(AR47:AU47)</f>
        <v>-448.718</v>
      </c>
      <c r="AW47" s="172">
        <v>-125.943</v>
      </c>
      <c r="AX47" s="125">
        <v>-129.419</v>
      </c>
      <c r="AY47" s="172">
        <v>-129.932</v>
      </c>
      <c r="AZ47" s="172">
        <v>-152.853</v>
      </c>
      <c r="BA47" s="124">
        <f>SUM(AW47:AZ47)</f>
        <v>-538.147</v>
      </c>
      <c r="BB47" s="172">
        <v>-137.841</v>
      </c>
      <c r="BC47" s="172">
        <v>-145.446</v>
      </c>
      <c r="BD47" s="172">
        <v>-156.619</v>
      </c>
      <c r="BE47" s="172">
        <v>-188.184</v>
      </c>
      <c r="BF47" s="124">
        <f>SUM(BB47:BE47)</f>
        <v>-628.09</v>
      </c>
      <c r="BG47" s="172">
        <v>-181.542</v>
      </c>
      <c r="BH47" s="172">
        <v>-180.202</v>
      </c>
      <c r="BI47" s="172">
        <v>-185.451</v>
      </c>
      <c r="BJ47" s="172">
        <v>-231.27</v>
      </c>
      <c r="BK47" s="124">
        <f>SUM(BG47:BJ47)</f>
        <v>-778.465</v>
      </c>
      <c r="BL47" s="125">
        <v>-199.141</v>
      </c>
      <c r="BM47" s="125">
        <f>-225.524-3.186+2.244+3.186-2.244</f>
        <v>-225.524</v>
      </c>
      <c r="BN47" s="125">
        <f>-215.367-21.007+21.007</f>
        <v>-215.367</v>
      </c>
      <c r="BO47" s="125">
        <f>-264.232-2.001+2.001</f>
        <v>-264.232</v>
      </c>
      <c r="BP47" s="124">
        <f>SUM(BL47:BO47)</f>
        <v>-904.264</v>
      </c>
      <c r="BQ47" s="125">
        <v>-240.428</v>
      </c>
      <c r="BR47" s="125">
        <v>-261.986</v>
      </c>
      <c r="BS47" s="125">
        <v>-270.874</v>
      </c>
      <c r="BT47" s="125">
        <v>-337.163</v>
      </c>
      <c r="BU47" s="124">
        <f>SUM(BQ47:BT47)</f>
        <v>-1110.451</v>
      </c>
      <c r="BV47" s="125">
        <v>-292.908</v>
      </c>
      <c r="BW47" s="125">
        <v>-317.814</v>
      </c>
      <c r="BX47" s="125">
        <v>-329.208</v>
      </c>
      <c r="BY47" s="125">
        <v>-394.339</v>
      </c>
      <c r="BZ47" s="124">
        <f>SUM(BV47:BY47)</f>
        <v>-1334.269</v>
      </c>
      <c r="CA47" s="125">
        <f>-301.651</f>
        <v>-301.651</v>
      </c>
      <c r="CB47" s="125">
        <f>-352.904-0.724-11.464+7.201+5.045-0.782</f>
        <v>-353.628</v>
      </c>
      <c r="CC47" s="125">
        <f>-411.662-8.531+1.017+7.514</f>
        <v>-411.662</v>
      </c>
      <c r="CD47" s="125">
        <f>-544.831-7.802+0.285+7.517</f>
        <v>-544.831</v>
      </c>
      <c r="CE47" s="124">
        <f>SUM(CA47:CD47)</f>
        <v>-1611.772</v>
      </c>
      <c r="CF47" s="125">
        <f>-496.634-7.664+7.168+0.496</f>
        <v>-496.634</v>
      </c>
      <c r="CG47" s="125">
        <v>-541.317</v>
      </c>
      <c r="CH47" s="125">
        <v>-545.124</v>
      </c>
      <c r="CI47" s="125">
        <v>-641.959</v>
      </c>
      <c r="CJ47" s="124">
        <f>SUM(CF47:CI47)</f>
        <v>-2225.034</v>
      </c>
      <c r="CK47" s="126">
        <v>-607.851</v>
      </c>
      <c r="CL47" s="126">
        <f>-662.253+10.18-10.18</f>
        <v>-662.253</v>
      </c>
      <c r="CM47" s="126">
        <v>-684.236</v>
      </c>
      <c r="CN47" s="128">
        <v>-803.107</v>
      </c>
      <c r="CO47" s="127">
        <f>SUM(CK47:CN47)</f>
        <v>-2757.447</v>
      </c>
      <c r="CP47" s="126">
        <v>-747.513</v>
      </c>
      <c r="CQ47" s="126">
        <v>-817.375</v>
      </c>
      <c r="CR47" s="128">
        <v>-842.795</v>
      </c>
      <c r="CS47" s="126">
        <v>-989.535</v>
      </c>
      <c r="CT47" s="127">
        <f>SUM(CP47:CS47)</f>
        <v>-3397.218</v>
      </c>
      <c r="CU47" s="94">
        <v>-842.426</v>
      </c>
      <c r="CV47" s="94">
        <v>-871.959</v>
      </c>
      <c r="CW47" s="94">
        <v>-909.827</v>
      </c>
      <c r="CX47" s="94">
        <v>-1138.167</v>
      </c>
      <c r="CY47" s="127">
        <f>SUM(CU47:CX47)</f>
        <v>-3762.379</v>
      </c>
      <c r="CZ47" s="94">
        <v>-942.871</v>
      </c>
      <c r="DA47" s="94">
        <v>-951.658</v>
      </c>
      <c r="DB47" s="94">
        <v>-988.254</v>
      </c>
      <c r="DC47" s="94">
        <f>-1183.773</f>
        <v>-1183.773</v>
      </c>
      <c r="DD47" s="127">
        <f>SUM(CZ47:DC47)</f>
        <v>-4066.556</v>
      </c>
      <c r="DE47" s="94">
        <v>-1059.988</v>
      </c>
      <c r="DF47" s="545">
        <v>-1006.332</v>
      </c>
      <c r="DG47" s="94">
        <f>-DG37*(DB49+DG50/10000)</f>
        <v>-1077.08820973605</v>
      </c>
      <c r="DH47" s="94">
        <f>-DH37*(DC49+DH50/10000)</f>
        <v>-1159.10052946768</v>
      </c>
      <c r="DI47" s="127">
        <f>SUM(DE47:DH47)</f>
        <v>-4302.50873920373</v>
      </c>
      <c r="DJ47" s="94">
        <f>-DJ37*(DE49+DJ50/10000)</f>
        <v>-1047.99399858102</v>
      </c>
      <c r="DK47" s="94">
        <f>-DK37*(DF49+DK50/10000)</f>
        <v>-1005.47849451607</v>
      </c>
      <c r="DL47" s="94">
        <f>-DL37*(DG49+DL50/10000)</f>
        <v>-1089.51944166774</v>
      </c>
      <c r="DM47" s="94">
        <f>-DM37*(DH49+DM50/10000)</f>
        <v>-1168.07370631745</v>
      </c>
      <c r="DN47" s="127">
        <f>SUM(DJ47:DM47)</f>
        <v>-4311.06564108227</v>
      </c>
      <c r="DO47" s="94">
        <f>-DO37*(DJ49+DO50/10000)</f>
        <v>-1073.68809961144</v>
      </c>
      <c r="DP47" s="94">
        <f>-DP37*(DK49+DP50/10000)</f>
        <v>-1028.71386353062</v>
      </c>
      <c r="DQ47" s="94">
        <f>-DQ37*(DL49+DQ50/10000)</f>
        <v>-1118.44884499722</v>
      </c>
      <c r="DR47" s="94">
        <f>-DR37*(DM49+DR50/10000)</f>
        <v>-1191.5850492989</v>
      </c>
      <c r="DS47" s="127">
        <f>SUM(DO47:DR47)</f>
        <v>-4412.43585743819</v>
      </c>
    </row>
    <row r="48" spans="1:123">
      <c r="B48" s="38" t="s">
        <v>69</v>
      </c>
      <c r="C48" s="528"/>
      <c r="D48" s="529"/>
      <c r="E48" s="529"/>
      <c r="F48" s="529"/>
      <c r="G48" s="529"/>
      <c r="H48" s="530">
        <f t="shared" ref="H48:AM48" si="65">H47/C47-1</f>
        <v>1.43683590074716</v>
      </c>
      <c r="I48" s="87">
        <f t="shared" si="65"/>
        <v>1.35198656966984</v>
      </c>
      <c r="J48" s="87">
        <f t="shared" si="65"/>
        <v>1.83192823608317</v>
      </c>
      <c r="K48" s="87">
        <f t="shared" si="65"/>
        <v>1.63129599100787</v>
      </c>
      <c r="L48" s="87">
        <f t="shared" si="65"/>
        <v>0.336704919564868</v>
      </c>
      <c r="M48" s="530">
        <f t="shared" si="65"/>
        <v>0.988815166536968</v>
      </c>
      <c r="N48" s="87">
        <f t="shared" si="65"/>
        <v>0.875172257911016</v>
      </c>
      <c r="O48" s="87">
        <f t="shared" si="65"/>
        <v>0.695507023445959</v>
      </c>
      <c r="P48" s="87">
        <f t="shared" si="65"/>
        <v>0.71229781761997</v>
      </c>
      <c r="Q48" s="87">
        <f t="shared" si="65"/>
        <v>1.00256909435062</v>
      </c>
      <c r="R48" s="530">
        <f t="shared" si="65"/>
        <v>0.830554846994855</v>
      </c>
      <c r="S48" s="87">
        <f t="shared" si="65"/>
        <v>0.890648415645596</v>
      </c>
      <c r="T48" s="87">
        <f t="shared" si="65"/>
        <v>0.342467311612717</v>
      </c>
      <c r="U48" s="87">
        <f t="shared" si="65"/>
        <v>0.199057598841647</v>
      </c>
      <c r="V48" s="87">
        <f t="shared" si="65"/>
        <v>-0.105272665389118</v>
      </c>
      <c r="W48" s="530">
        <f t="shared" si="65"/>
        <v>0.234038268553631</v>
      </c>
      <c r="X48" s="87">
        <f t="shared" si="65"/>
        <v>-0.157900953367792</v>
      </c>
      <c r="Y48" s="87">
        <f t="shared" si="65"/>
        <v>0.0693435215078964</v>
      </c>
      <c r="Z48" s="87">
        <f t="shared" si="65"/>
        <v>0.22795607834271</v>
      </c>
      <c r="AA48" s="87">
        <f t="shared" si="65"/>
        <v>0.439386172871148</v>
      </c>
      <c r="AB48" s="530">
        <f t="shared" si="65"/>
        <v>0.148142104215906</v>
      </c>
      <c r="AC48" s="87">
        <f t="shared" si="65"/>
        <v>0.668911380299649</v>
      </c>
      <c r="AD48" s="87">
        <f t="shared" si="65"/>
        <v>0.493740269849507</v>
      </c>
      <c r="AE48" s="87">
        <f t="shared" si="65"/>
        <v>0.537783802100983</v>
      </c>
      <c r="AF48" s="87">
        <f t="shared" si="65"/>
        <v>0.606134122726969</v>
      </c>
      <c r="AG48" s="530">
        <f t="shared" si="65"/>
        <v>0.57450337200684</v>
      </c>
      <c r="AH48" s="87">
        <f t="shared" si="65"/>
        <v>0.38576510756154</v>
      </c>
      <c r="AI48" s="87">
        <f t="shared" si="65"/>
        <v>0.35889697101292</v>
      </c>
      <c r="AJ48" s="87">
        <f t="shared" si="65"/>
        <v>0.263258410459821</v>
      </c>
      <c r="AK48" s="87">
        <f t="shared" si="65"/>
        <v>0.288087913306172</v>
      </c>
      <c r="AL48" s="530">
        <f t="shared" si="65"/>
        <v>0.316052685545964</v>
      </c>
      <c r="AM48" s="87">
        <f t="shared" si="65"/>
        <v>0.450706409372846</v>
      </c>
      <c r="AN48" s="87">
        <f t="shared" ref="AN48:BS48" si="66">AN47/AI47-1</f>
        <v>0.367234436916784</v>
      </c>
      <c r="AO48" s="87">
        <f t="shared" si="66"/>
        <v>0.376453657402023</v>
      </c>
      <c r="AP48" s="87">
        <f t="shared" si="66"/>
        <v>0.311787931275618</v>
      </c>
      <c r="AQ48" s="530">
        <f t="shared" si="66"/>
        <v>0.368385824122507</v>
      </c>
      <c r="AR48" s="87">
        <f t="shared" si="66"/>
        <v>0.24509792277818</v>
      </c>
      <c r="AS48" s="87">
        <f t="shared" si="66"/>
        <v>0.250119789171059</v>
      </c>
      <c r="AT48" s="87">
        <f t="shared" si="66"/>
        <v>0.185670986070188</v>
      </c>
      <c r="AU48" s="87">
        <f t="shared" si="66"/>
        <v>0.0222337040317553</v>
      </c>
      <c r="AV48" s="530">
        <f t="shared" si="66"/>
        <v>0.161317539151162</v>
      </c>
      <c r="AW48" s="87">
        <f t="shared" si="66"/>
        <v>0.201333511389217</v>
      </c>
      <c r="AX48" s="87">
        <f t="shared" si="66"/>
        <v>0.209873888696725</v>
      </c>
      <c r="AY48" s="87">
        <f t="shared" si="66"/>
        <v>0.15731718179389</v>
      </c>
      <c r="AZ48" s="87">
        <f t="shared" si="66"/>
        <v>0.226326388164598</v>
      </c>
      <c r="BA48" s="530">
        <f t="shared" si="66"/>
        <v>0.199298891508698</v>
      </c>
      <c r="BB48" s="87">
        <f t="shared" si="66"/>
        <v>0.0944713084490603</v>
      </c>
      <c r="BC48" s="87">
        <f t="shared" si="66"/>
        <v>0.123838076325733</v>
      </c>
      <c r="BD48" s="87">
        <f t="shared" si="66"/>
        <v>0.205392051226796</v>
      </c>
      <c r="BE48" s="87">
        <f t="shared" si="66"/>
        <v>0.231143647818492</v>
      </c>
      <c r="BF48" s="530">
        <f t="shared" si="66"/>
        <v>0.167134630500588</v>
      </c>
      <c r="BG48" s="87">
        <f t="shared" si="66"/>
        <v>0.317039197336061</v>
      </c>
      <c r="BH48" s="87">
        <f t="shared" si="66"/>
        <v>0.238961538990416</v>
      </c>
      <c r="BI48" s="87">
        <f t="shared" si="66"/>
        <v>0.184090052930998</v>
      </c>
      <c r="BJ48" s="87">
        <f t="shared" si="66"/>
        <v>0.228956765718658</v>
      </c>
      <c r="BK48" s="530">
        <f t="shared" si="66"/>
        <v>0.239416325685809</v>
      </c>
      <c r="BL48" s="87">
        <f t="shared" si="66"/>
        <v>0.0969417545251237</v>
      </c>
      <c r="BM48" s="87">
        <f t="shared" si="66"/>
        <v>0.251506642545588</v>
      </c>
      <c r="BN48" s="87">
        <f t="shared" si="66"/>
        <v>0.161314848666225</v>
      </c>
      <c r="BO48" s="87">
        <f t="shared" si="66"/>
        <v>0.142526051800925</v>
      </c>
      <c r="BP48" s="530">
        <f t="shared" si="66"/>
        <v>0.161598787357171</v>
      </c>
      <c r="BQ48" s="87">
        <f t="shared" si="66"/>
        <v>0.207325462862997</v>
      </c>
      <c r="BR48" s="87">
        <f t="shared" si="66"/>
        <v>0.161676806016211</v>
      </c>
      <c r="BS48" s="87">
        <f t="shared" si="66"/>
        <v>0.257732150236573</v>
      </c>
      <c r="BT48" s="87">
        <f t="shared" ref="BT48:CR48" si="67">BT47/BO47-1</f>
        <v>0.276011232553211</v>
      </c>
      <c r="BU48" s="530">
        <f t="shared" si="67"/>
        <v>0.228016375748675</v>
      </c>
      <c r="BV48" s="87">
        <f t="shared" si="67"/>
        <v>0.218277405293893</v>
      </c>
      <c r="BW48" s="87">
        <f t="shared" si="67"/>
        <v>0.21309535624041</v>
      </c>
      <c r="BX48" s="87">
        <f t="shared" si="67"/>
        <v>0.215354740580491</v>
      </c>
      <c r="BY48" s="87">
        <f t="shared" si="67"/>
        <v>0.169579698840027</v>
      </c>
      <c r="BZ48" s="530">
        <f t="shared" si="67"/>
        <v>0.20155594438656</v>
      </c>
      <c r="CA48" s="87">
        <f t="shared" si="67"/>
        <v>0.0298489628142624</v>
      </c>
      <c r="CB48" s="87">
        <f t="shared" si="67"/>
        <v>0.112688553682342</v>
      </c>
      <c r="CC48" s="87">
        <f t="shared" si="67"/>
        <v>0.250461714174625</v>
      </c>
      <c r="CD48" s="87">
        <f t="shared" si="67"/>
        <v>0.381631033197325</v>
      </c>
      <c r="CE48" s="530">
        <f t="shared" si="67"/>
        <v>0.20798129912334</v>
      </c>
      <c r="CF48" s="87">
        <f t="shared" si="67"/>
        <v>0.646386055408402</v>
      </c>
      <c r="CG48" s="87">
        <f t="shared" si="67"/>
        <v>0.530752655332723</v>
      </c>
      <c r="CH48" s="87">
        <f t="shared" si="67"/>
        <v>0.324202865457584</v>
      </c>
      <c r="CI48" s="87">
        <f t="shared" si="67"/>
        <v>0.178271794372934</v>
      </c>
      <c r="CJ48" s="530">
        <f t="shared" si="67"/>
        <v>0.380489299975431</v>
      </c>
      <c r="CK48" s="87">
        <f t="shared" si="67"/>
        <v>0.223941574680751</v>
      </c>
      <c r="CL48" s="87">
        <f t="shared" si="67"/>
        <v>0.223410681726234</v>
      </c>
      <c r="CM48" s="87">
        <f t="shared" si="67"/>
        <v>0.255193313814838</v>
      </c>
      <c r="CN48" s="87">
        <f t="shared" si="67"/>
        <v>0.251025377010058</v>
      </c>
      <c r="CO48" s="530">
        <f t="shared" si="67"/>
        <v>0.239283085112407</v>
      </c>
      <c r="CP48" s="87">
        <f t="shared" si="67"/>
        <v>0.229763544026415</v>
      </c>
      <c r="CQ48" s="87">
        <f t="shared" si="67"/>
        <v>0.234233744505498</v>
      </c>
      <c r="CR48" s="87">
        <f t="shared" si="67"/>
        <v>0.231731449382961</v>
      </c>
      <c r="CS48" s="87">
        <f t="shared" ref="CS48:DB48" si="68">CS47/CN47-1</f>
        <v>0.232133451706933</v>
      </c>
      <c r="CT48" s="530">
        <f t="shared" si="68"/>
        <v>0.232015701480391</v>
      </c>
      <c r="CU48" s="87">
        <f t="shared" si="68"/>
        <v>0.126971704839916</v>
      </c>
      <c r="CV48" s="87">
        <f t="shared" si="68"/>
        <v>0.0667796299128307</v>
      </c>
      <c r="CW48" s="87">
        <f t="shared" si="68"/>
        <v>0.0795353555728262</v>
      </c>
      <c r="CX48" s="87">
        <f t="shared" si="68"/>
        <v>0.150203883642317</v>
      </c>
      <c r="CY48" s="530">
        <f t="shared" ref="CY48:DE48" si="69">CY47/CT47-1</f>
        <v>0.10748824479324</v>
      </c>
      <c r="CZ48" s="87">
        <f t="shared" si="68"/>
        <v>0.119233024621747</v>
      </c>
      <c r="DA48" s="87">
        <f t="shared" si="68"/>
        <v>0.0914022333618898</v>
      </c>
      <c r="DB48" s="87">
        <f t="shared" si="68"/>
        <v>0.0861999039377817</v>
      </c>
      <c r="DC48" s="87">
        <f t="shared" si="69"/>
        <v>0.0400696910031657</v>
      </c>
      <c r="DD48" s="530">
        <f t="shared" si="69"/>
        <v>0.0808469853781344</v>
      </c>
      <c r="DE48" s="87">
        <f t="shared" si="69"/>
        <v>0.124213174442739</v>
      </c>
      <c r="DF48" s="87">
        <f t="shared" ref="DF48:DN48" si="70">DF47/DA47-1</f>
        <v>0.0574513112904005</v>
      </c>
      <c r="DG48" s="87">
        <f t="shared" si="70"/>
        <v>0.0898900583615672</v>
      </c>
      <c r="DH48" s="87">
        <f t="shared" si="70"/>
        <v>-0.0208422311814203</v>
      </c>
      <c r="DI48" s="530">
        <f t="shared" si="70"/>
        <v>0.0580227443575669</v>
      </c>
      <c r="DJ48" s="87">
        <f t="shared" si="70"/>
        <v>-0.0113152237751595</v>
      </c>
      <c r="DK48" s="87">
        <f t="shared" si="70"/>
        <v>-0.000848135092525237</v>
      </c>
      <c r="DL48" s="87">
        <f t="shared" si="70"/>
        <v>0.0115415170450439</v>
      </c>
      <c r="DM48" s="87">
        <f t="shared" si="70"/>
        <v>0.00774150008705132</v>
      </c>
      <c r="DN48" s="530">
        <f t="shared" si="70"/>
        <v>0.00198881685017294</v>
      </c>
      <c r="DO48" s="87">
        <f t="shared" ref="DO48" si="71">DO47/DJ47-1</f>
        <v>0.0245174123756557</v>
      </c>
      <c r="DP48" s="87">
        <f t="shared" ref="DP48" si="72">DP47/DK47-1</f>
        <v>0.0231087677571251</v>
      </c>
      <c r="DQ48" s="87">
        <f t="shared" ref="DQ48" si="73">DQ47/DL47-1</f>
        <v>0.026552443419646</v>
      </c>
      <c r="DR48" s="87">
        <f t="shared" ref="DR48" si="74">DR47/DM47-1</f>
        <v>0.0201283042793352</v>
      </c>
      <c r="DS48" s="530">
        <f t="shared" ref="DS48" si="75">DS47/DN47-1</f>
        <v>0.0235139579852153</v>
      </c>
    </row>
    <row r="49" spans="1:123">
      <c r="B49" s="38" t="s">
        <v>75</v>
      </c>
      <c r="C49" s="528"/>
      <c r="D49" s="529"/>
      <c r="E49" s="529"/>
      <c r="F49" s="529"/>
      <c r="G49" s="529"/>
      <c r="H49" s="530">
        <f t="shared" ref="H49:AM49" si="76">-H47/H37</f>
        <v>0.314014297051794</v>
      </c>
      <c r="I49" s="87">
        <f t="shared" si="76"/>
        <v>0.298254328697133</v>
      </c>
      <c r="J49" s="87">
        <f t="shared" si="76"/>
        <v>0.389551458191493</v>
      </c>
      <c r="K49" s="87">
        <f t="shared" si="76"/>
        <v>0.390514022127961</v>
      </c>
      <c r="L49" s="87">
        <f t="shared" si="76"/>
        <v>0.333633325648556</v>
      </c>
      <c r="M49" s="530">
        <f t="shared" si="76"/>
        <v>0.352890194309516</v>
      </c>
      <c r="N49" s="87">
        <f t="shared" si="76"/>
        <v>0.351928766448961</v>
      </c>
      <c r="O49" s="87">
        <f t="shared" si="76"/>
        <v>0.36600215565721</v>
      </c>
      <c r="P49" s="87">
        <f t="shared" si="76"/>
        <v>0.363576571406803</v>
      </c>
      <c r="Q49" s="87">
        <f t="shared" si="76"/>
        <v>0.331960481193699</v>
      </c>
      <c r="R49" s="530">
        <f t="shared" si="76"/>
        <v>0.350100771230146</v>
      </c>
      <c r="S49" s="87">
        <f t="shared" si="76"/>
        <v>0.381254642754698</v>
      </c>
      <c r="T49" s="87">
        <f t="shared" si="76"/>
        <v>0.337286132904314</v>
      </c>
      <c r="U49" s="87">
        <f t="shared" si="76"/>
        <v>0.331293672100753</v>
      </c>
      <c r="V49" s="87">
        <f t="shared" si="76"/>
        <v>0.300362775569904</v>
      </c>
      <c r="W49" s="530">
        <f t="shared" si="76"/>
        <v>0.334686643544141</v>
      </c>
      <c r="X49" s="87">
        <f t="shared" si="76"/>
        <v>0.307247796278159</v>
      </c>
      <c r="Y49" s="87">
        <f t="shared" si="76"/>
        <v>0.315510483928736</v>
      </c>
      <c r="Z49" s="87">
        <f t="shared" si="76"/>
        <v>0.313683110256796</v>
      </c>
      <c r="AA49" s="87">
        <f t="shared" si="76"/>
        <v>0.279746709338381</v>
      </c>
      <c r="AB49" s="530">
        <f t="shared" si="76"/>
        <v>0.300882317872899</v>
      </c>
      <c r="AC49" s="87">
        <f t="shared" si="76"/>
        <v>0.302848217965683</v>
      </c>
      <c r="AD49" s="87">
        <f t="shared" si="76"/>
        <v>0.302579365079365</v>
      </c>
      <c r="AE49" s="87">
        <f t="shared" si="76"/>
        <v>0.309761092150171</v>
      </c>
      <c r="AF49" s="87">
        <f t="shared" si="76"/>
        <v>0.294059877994613</v>
      </c>
      <c r="AG49" s="530">
        <f t="shared" si="76"/>
        <v>0.301468026033295</v>
      </c>
      <c r="AH49" s="87">
        <f t="shared" si="76"/>
        <v>0.310739907913053</v>
      </c>
      <c r="AI49" s="87">
        <f t="shared" si="76"/>
        <v>0.294758457632946</v>
      </c>
      <c r="AJ49" s="87">
        <f t="shared" si="76"/>
        <v>0.298815025888731</v>
      </c>
      <c r="AK49" s="87">
        <f t="shared" si="76"/>
        <v>0.250191106804479</v>
      </c>
      <c r="AL49" s="530">
        <f t="shared" si="76"/>
        <v>0.282130292684438</v>
      </c>
      <c r="AM49" s="87">
        <f t="shared" si="76"/>
        <v>0.294713298658024</v>
      </c>
      <c r="AN49" s="87">
        <f t="shared" ref="AN49:BS49" si="77">-AN47/AN37</f>
        <v>0.302748430832808</v>
      </c>
      <c r="AO49" s="87">
        <f t="shared" si="77"/>
        <v>0.299140384852324</v>
      </c>
      <c r="AP49" s="87">
        <f t="shared" si="77"/>
        <v>0.25115296124114</v>
      </c>
      <c r="AQ49" s="530">
        <f t="shared" si="77"/>
        <v>0.281960626347276</v>
      </c>
      <c r="AR49" s="87">
        <f t="shared" si="77"/>
        <v>0.303185243881983</v>
      </c>
      <c r="AS49" s="87">
        <f t="shared" si="77"/>
        <v>0.310493363095152</v>
      </c>
      <c r="AT49" s="87">
        <f t="shared" si="77"/>
        <v>0.295525138194262</v>
      </c>
      <c r="AU49" s="87">
        <f t="shared" si="77"/>
        <v>0.239241218212145</v>
      </c>
      <c r="AV49" s="530">
        <f t="shared" si="77"/>
        <v>0.282001875328371</v>
      </c>
      <c r="AW49" s="87">
        <f t="shared" si="77"/>
        <v>0.327449573342901</v>
      </c>
      <c r="AX49" s="87">
        <f t="shared" si="77"/>
        <v>0.331226150227653</v>
      </c>
      <c r="AY49" s="87">
        <f t="shared" si="77"/>
        <v>0.309807437362302</v>
      </c>
      <c r="AZ49" s="87">
        <f t="shared" si="77"/>
        <v>0.253701715046366</v>
      </c>
      <c r="BA49" s="530">
        <f t="shared" si="77"/>
        <v>0.299434179476779</v>
      </c>
      <c r="BB49" s="87">
        <f t="shared" si="77"/>
        <v>0.325446706835653</v>
      </c>
      <c r="BC49" s="87">
        <f t="shared" si="77"/>
        <v>0.321065760137745</v>
      </c>
      <c r="BD49" s="87">
        <f t="shared" si="77"/>
        <v>0.326498406272345</v>
      </c>
      <c r="BE49" s="87">
        <f t="shared" si="77"/>
        <v>0.267202062827641</v>
      </c>
      <c r="BF49" s="530">
        <f t="shared" si="77"/>
        <v>0.304820669315509</v>
      </c>
      <c r="BG49" s="87">
        <f t="shared" si="77"/>
        <v>0.366369602596082</v>
      </c>
      <c r="BH49" s="87">
        <f t="shared" si="77"/>
        <v>0.350233227085439</v>
      </c>
      <c r="BI49" s="87">
        <f t="shared" si="77"/>
        <v>0.340642082525128</v>
      </c>
      <c r="BJ49" s="87">
        <f t="shared" si="77"/>
        <v>0.292769071068689</v>
      </c>
      <c r="BK49" s="530">
        <f t="shared" si="77"/>
        <v>0.332054110404745</v>
      </c>
      <c r="BL49" s="87">
        <f t="shared" si="77"/>
        <v>0.382737499207199</v>
      </c>
      <c r="BM49" s="87">
        <f t="shared" si="77"/>
        <v>0.388129158391475</v>
      </c>
      <c r="BN49" s="87">
        <f t="shared" si="77"/>
        <v>0.347908192441772</v>
      </c>
      <c r="BO49" s="87">
        <f t="shared" si="77"/>
        <v>0.284486898176361</v>
      </c>
      <c r="BP49" s="530">
        <f t="shared" si="77"/>
        <v>0.341337190626084</v>
      </c>
      <c r="BQ49" s="87">
        <f t="shared" si="77"/>
        <v>0.370056610220623</v>
      </c>
      <c r="BR49" s="87">
        <f t="shared" si="77"/>
        <v>0.362109191430546</v>
      </c>
      <c r="BS49" s="87">
        <f t="shared" si="77"/>
        <v>0.362298118784734</v>
      </c>
      <c r="BT49" s="87">
        <f t="shared" ref="BT49:CY49" si="78">-BT47/BT37</f>
        <v>0.288800967572281</v>
      </c>
      <c r="BU49" s="530">
        <f t="shared" si="78"/>
        <v>0.337695643275485</v>
      </c>
      <c r="BV49" s="87">
        <f t="shared" si="78"/>
        <v>0.374411841777289</v>
      </c>
      <c r="BW49" s="87">
        <f t="shared" si="78"/>
        <v>0.359781831025458</v>
      </c>
      <c r="BX49" s="87">
        <f t="shared" si="78"/>
        <v>0.359343243048536</v>
      </c>
      <c r="BY49" s="87">
        <f t="shared" si="78"/>
        <v>0.28217641473183</v>
      </c>
      <c r="BZ49" s="530">
        <f t="shared" si="78"/>
        <v>0.335302777174656</v>
      </c>
      <c r="CA49" s="87">
        <f t="shared" si="78"/>
        <v>0.462681874096957</v>
      </c>
      <c r="CB49" s="87">
        <f t="shared" si="78"/>
        <v>0.391639773097275</v>
      </c>
      <c r="CC49" s="87">
        <f t="shared" si="78"/>
        <v>0.368402023937156</v>
      </c>
      <c r="CD49" s="87">
        <f t="shared" si="78"/>
        <v>0.315013153710503</v>
      </c>
      <c r="CE49" s="530">
        <f t="shared" si="78"/>
        <v>0.366155369978282</v>
      </c>
      <c r="CF49" s="87">
        <f t="shared" si="78"/>
        <v>0.404931245490087</v>
      </c>
      <c r="CG49" s="87">
        <f t="shared" si="78"/>
        <v>0.373163024311018</v>
      </c>
      <c r="CH49" s="87">
        <f t="shared" si="78"/>
        <v>0.375838463453025</v>
      </c>
      <c r="CI49" s="87">
        <f t="shared" si="78"/>
        <v>0.301514762250759</v>
      </c>
      <c r="CJ49" s="530">
        <f t="shared" si="78"/>
        <v>0.355628928540775</v>
      </c>
      <c r="CK49" s="87">
        <f t="shared" si="78"/>
        <v>0.376736869702001</v>
      </c>
      <c r="CL49" s="87">
        <f t="shared" si="78"/>
        <v>0.35446292085758</v>
      </c>
      <c r="CM49" s="87">
        <f t="shared" si="78"/>
        <v>0.368485138314676</v>
      </c>
      <c r="CN49" s="87">
        <f t="shared" si="78"/>
        <v>0.289738072715649</v>
      </c>
      <c r="CO49" s="530">
        <f t="shared" si="78"/>
        <v>0.339984079931763</v>
      </c>
      <c r="CP49" s="87">
        <f t="shared" si="78"/>
        <v>0.373608551013799</v>
      </c>
      <c r="CQ49" s="87">
        <f t="shared" si="78"/>
        <v>0.369992734811569</v>
      </c>
      <c r="CR49" s="87">
        <f t="shared" si="78"/>
        <v>0.38235555648307</v>
      </c>
      <c r="CS49" s="87">
        <f t="shared" si="78"/>
        <v>0.308737347910504</v>
      </c>
      <c r="CT49" s="530">
        <f t="shared" si="78"/>
        <v>0.353167670172335</v>
      </c>
      <c r="CU49" s="87">
        <f t="shared" si="78"/>
        <v>0.381379615381655</v>
      </c>
      <c r="CV49" s="87">
        <f t="shared" si="78"/>
        <v>0.367747918879092</v>
      </c>
      <c r="CW49" s="87">
        <f t="shared" si="78"/>
        <v>0.379622891857835</v>
      </c>
      <c r="CX49" s="87">
        <f t="shared" si="78"/>
        <v>0.315151030168376</v>
      </c>
      <c r="CY49" s="530">
        <f t="shared" si="78"/>
        <v>0.355339462337339</v>
      </c>
      <c r="CZ49" s="87">
        <f t="shared" ref="CZ49:DN49" si="79">-CZ47/CZ37</f>
        <v>0.3977251060886</v>
      </c>
      <c r="DA49" s="87">
        <f t="shared" si="79"/>
        <v>0.376861571214219</v>
      </c>
      <c r="DB49" s="87">
        <f t="shared" ref="DB49" si="80">-DB47/DB37</f>
        <v>0.385146068466671</v>
      </c>
      <c r="DC49" s="87">
        <f t="shared" si="79"/>
        <v>0.325140813793448</v>
      </c>
      <c r="DD49" s="530">
        <f t="shared" si="79"/>
        <v>0.366270603282114</v>
      </c>
      <c r="DE49" s="87">
        <f t="shared" ref="DE49" si="81">-DE47/DE37</f>
        <v>0.428866610050239</v>
      </c>
      <c r="DF49" s="87">
        <f t="shared" si="79"/>
        <v>0.416591772501678</v>
      </c>
      <c r="DG49" s="87">
        <f t="shared" si="79"/>
        <v>0.465146068466671</v>
      </c>
      <c r="DH49" s="87">
        <f t="shared" si="79"/>
        <v>0.355140813793448</v>
      </c>
      <c r="DI49" s="530">
        <f t="shared" si="79"/>
        <v>0.411070228042459</v>
      </c>
      <c r="DJ49" s="87">
        <f t="shared" si="79"/>
        <v>0.443866610050239</v>
      </c>
      <c r="DK49" s="87">
        <f t="shared" si="79"/>
        <v>0.431591772501678</v>
      </c>
      <c r="DL49" s="87">
        <f t="shared" si="79"/>
        <v>0.472646068466671</v>
      </c>
      <c r="DM49" s="87">
        <f t="shared" si="79"/>
        <v>0.362640813793448</v>
      </c>
      <c r="DN49" s="530">
        <f t="shared" si="79"/>
        <v>0.421953386515464</v>
      </c>
      <c r="DO49" s="87">
        <f t="shared" ref="DO49:DS49" si="82">-DO47/DO37</f>
        <v>0.448866610050239</v>
      </c>
      <c r="DP49" s="87">
        <f t="shared" si="82"/>
        <v>0.436591772501678</v>
      </c>
      <c r="DQ49" s="87">
        <f t="shared" si="82"/>
        <v>0.477646068466671</v>
      </c>
      <c r="DR49" s="87">
        <f t="shared" si="82"/>
        <v>0.367640813793448</v>
      </c>
      <c r="DS49" s="530">
        <f t="shared" si="82"/>
        <v>0.427106907136561</v>
      </c>
    </row>
    <row r="50" spans="1:123">
      <c r="A50" s="6"/>
      <c r="B50" s="536" t="s">
        <v>73</v>
      </c>
      <c r="C50" s="74"/>
      <c r="D50" s="6"/>
      <c r="E50" s="6"/>
      <c r="F50" s="6"/>
      <c r="G50" s="6"/>
      <c r="H50" s="537">
        <f t="shared" ref="H50:AM50" si="83">(H49-C49)*100*100</f>
        <v>3140.14297051794</v>
      </c>
      <c r="I50" s="538">
        <f t="shared" si="83"/>
        <v>2982.54328697133</v>
      </c>
      <c r="J50" s="538">
        <f t="shared" si="83"/>
        <v>3895.51458191493</v>
      </c>
      <c r="K50" s="538">
        <f t="shared" si="83"/>
        <v>3905.14022127961</v>
      </c>
      <c r="L50" s="538">
        <f t="shared" si="83"/>
        <v>3336.33325648556</v>
      </c>
      <c r="M50" s="537">
        <f t="shared" si="83"/>
        <v>388.758972577217</v>
      </c>
      <c r="N50" s="538">
        <f t="shared" si="83"/>
        <v>536.744377518275</v>
      </c>
      <c r="O50" s="538">
        <f t="shared" si="83"/>
        <v>-235.493025342832</v>
      </c>
      <c r="P50" s="538">
        <f t="shared" si="83"/>
        <v>-269.374507211586</v>
      </c>
      <c r="Q50" s="538">
        <f t="shared" si="83"/>
        <v>-16.7284445485688</v>
      </c>
      <c r="R50" s="537">
        <f t="shared" si="83"/>
        <v>-27.8942307936991</v>
      </c>
      <c r="S50" s="538">
        <f t="shared" si="83"/>
        <v>293.258763057374</v>
      </c>
      <c r="T50" s="538">
        <f t="shared" si="83"/>
        <v>-287.160227528958</v>
      </c>
      <c r="U50" s="538">
        <f t="shared" si="83"/>
        <v>-322.828993060497</v>
      </c>
      <c r="V50" s="538">
        <f t="shared" si="83"/>
        <v>-315.977056237948</v>
      </c>
      <c r="W50" s="537">
        <f t="shared" si="83"/>
        <v>-154.141276860049</v>
      </c>
      <c r="X50" s="538">
        <f t="shared" si="83"/>
        <v>-740.068464765394</v>
      </c>
      <c r="Y50" s="538">
        <f t="shared" si="83"/>
        <v>-217.756489755779</v>
      </c>
      <c r="Z50" s="538">
        <f t="shared" si="83"/>
        <v>-176.105618439569</v>
      </c>
      <c r="AA50" s="538">
        <f t="shared" si="83"/>
        <v>-206.160662315231</v>
      </c>
      <c r="AB50" s="537">
        <f t="shared" si="83"/>
        <v>-338.043256712424</v>
      </c>
      <c r="AC50" s="538">
        <f t="shared" si="83"/>
        <v>-43.9957831247606</v>
      </c>
      <c r="AD50" s="538">
        <f t="shared" si="83"/>
        <v>-129.311188493708</v>
      </c>
      <c r="AE50" s="538">
        <f t="shared" si="83"/>
        <v>-39.2201810662568</v>
      </c>
      <c r="AF50" s="538">
        <f t="shared" si="83"/>
        <v>143.131686562319</v>
      </c>
      <c r="AG50" s="537">
        <f t="shared" si="83"/>
        <v>5.85708160396214</v>
      </c>
      <c r="AH50" s="538">
        <f t="shared" si="83"/>
        <v>78.9168994737022</v>
      </c>
      <c r="AI50" s="538">
        <f t="shared" si="83"/>
        <v>-78.20907446419</v>
      </c>
      <c r="AJ50" s="538">
        <f t="shared" si="83"/>
        <v>-109.460662614401</v>
      </c>
      <c r="AK50" s="538">
        <f t="shared" si="83"/>
        <v>-438.68771190134</v>
      </c>
      <c r="AL50" s="537">
        <f t="shared" si="83"/>
        <v>-193.37733348857</v>
      </c>
      <c r="AM50" s="538">
        <f t="shared" si="83"/>
        <v>-160.266092550292</v>
      </c>
      <c r="AN50" s="538">
        <f t="shared" ref="AN50:BS50" si="84">(AN49-AI49)*100*100</f>
        <v>79.8997319986239</v>
      </c>
      <c r="AO50" s="538">
        <f t="shared" si="84"/>
        <v>3.25358963593092</v>
      </c>
      <c r="AP50" s="538">
        <f t="shared" si="84"/>
        <v>9.61854436661524</v>
      </c>
      <c r="AQ50" s="537">
        <f t="shared" si="84"/>
        <v>-1.69666337162033</v>
      </c>
      <c r="AR50" s="538">
        <f t="shared" si="84"/>
        <v>84.7194522395989</v>
      </c>
      <c r="AS50" s="538">
        <f t="shared" si="84"/>
        <v>77.4493226234324</v>
      </c>
      <c r="AT50" s="538">
        <f t="shared" si="84"/>
        <v>-36.1524665806207</v>
      </c>
      <c r="AU50" s="538">
        <f t="shared" si="84"/>
        <v>-119.117430289955</v>
      </c>
      <c r="AV50" s="537">
        <f t="shared" si="84"/>
        <v>0.412489810952543</v>
      </c>
      <c r="AW50" s="538">
        <f t="shared" si="84"/>
        <v>242.643294609178</v>
      </c>
      <c r="AX50" s="538">
        <f t="shared" si="84"/>
        <v>207.327871325009</v>
      </c>
      <c r="AY50" s="538">
        <f t="shared" si="84"/>
        <v>142.822991680404</v>
      </c>
      <c r="AZ50" s="538">
        <f t="shared" si="84"/>
        <v>144.60496834221</v>
      </c>
      <c r="BA50" s="537">
        <f t="shared" si="84"/>
        <v>174.323041484078</v>
      </c>
      <c r="BB50" s="538">
        <f t="shared" si="84"/>
        <v>-20.0286650724785</v>
      </c>
      <c r="BC50" s="538">
        <f t="shared" si="84"/>
        <v>-101.603900899073</v>
      </c>
      <c r="BD50" s="538">
        <f t="shared" si="84"/>
        <v>166.909689100431</v>
      </c>
      <c r="BE50" s="538">
        <f t="shared" si="84"/>
        <v>135.003477812756</v>
      </c>
      <c r="BF50" s="537">
        <f t="shared" si="84"/>
        <v>53.8648983872997</v>
      </c>
      <c r="BG50" s="538">
        <f t="shared" si="84"/>
        <v>409.228957604283</v>
      </c>
      <c r="BH50" s="538">
        <f t="shared" si="84"/>
        <v>291.674669476936</v>
      </c>
      <c r="BI50" s="538">
        <f t="shared" si="84"/>
        <v>141.436762527827</v>
      </c>
      <c r="BJ50" s="538">
        <f t="shared" si="84"/>
        <v>255.670082410474</v>
      </c>
      <c r="BK50" s="537">
        <f t="shared" si="84"/>
        <v>272.334410892359</v>
      </c>
      <c r="BL50" s="538">
        <f t="shared" si="84"/>
        <v>163.678966111171</v>
      </c>
      <c r="BM50" s="538">
        <f t="shared" si="84"/>
        <v>378.959313060359</v>
      </c>
      <c r="BN50" s="538">
        <f t="shared" si="84"/>
        <v>72.6610991664434</v>
      </c>
      <c r="BO50" s="538">
        <f t="shared" si="84"/>
        <v>-82.821728923283</v>
      </c>
      <c r="BP50" s="537">
        <f t="shared" si="84"/>
        <v>92.8308022133939</v>
      </c>
      <c r="BQ50" s="538">
        <f t="shared" si="84"/>
        <v>-126.808889865759</v>
      </c>
      <c r="BR50" s="538">
        <f t="shared" si="84"/>
        <v>-260.199669609288</v>
      </c>
      <c r="BS50" s="538">
        <f t="shared" si="84"/>
        <v>143.899263429615</v>
      </c>
      <c r="BT50" s="538">
        <f t="shared" ref="BT50:CR50" si="85">(BT49-BO49)*100*100</f>
        <v>43.1406939592044</v>
      </c>
      <c r="BU50" s="537">
        <f t="shared" si="85"/>
        <v>-36.4154735059891</v>
      </c>
      <c r="BV50" s="538">
        <f t="shared" si="85"/>
        <v>43.5523155666634</v>
      </c>
      <c r="BW50" s="538">
        <f t="shared" si="85"/>
        <v>-23.273604050883</v>
      </c>
      <c r="BX50" s="538">
        <f t="shared" si="85"/>
        <v>-29.5487573619729</v>
      </c>
      <c r="BY50" s="538">
        <f t="shared" si="85"/>
        <v>-66.2455284045083</v>
      </c>
      <c r="BZ50" s="537">
        <f t="shared" si="85"/>
        <v>-23.9286610082906</v>
      </c>
      <c r="CA50" s="538">
        <f t="shared" si="85"/>
        <v>882.700323196674</v>
      </c>
      <c r="CB50" s="538">
        <f t="shared" si="85"/>
        <v>318.579420718176</v>
      </c>
      <c r="CC50" s="538">
        <f t="shared" si="85"/>
        <v>90.5878088861922</v>
      </c>
      <c r="CD50" s="538">
        <f t="shared" si="85"/>
        <v>328.367389786726</v>
      </c>
      <c r="CE50" s="537">
        <f t="shared" si="85"/>
        <v>308.525928036259</v>
      </c>
      <c r="CF50" s="538">
        <f t="shared" si="85"/>
        <v>-577.506286068692</v>
      </c>
      <c r="CG50" s="538">
        <f t="shared" si="85"/>
        <v>-184.767487862574</v>
      </c>
      <c r="CH50" s="538">
        <f t="shared" si="85"/>
        <v>74.3643951586942</v>
      </c>
      <c r="CI50" s="538">
        <f t="shared" si="85"/>
        <v>-134.983914597439</v>
      </c>
      <c r="CJ50" s="537">
        <f t="shared" si="85"/>
        <v>-105.264414375066</v>
      </c>
      <c r="CK50" s="546">
        <f t="shared" si="85"/>
        <v>-281.943757880862</v>
      </c>
      <c r="CL50" s="546">
        <f t="shared" si="85"/>
        <v>-187.001034534382</v>
      </c>
      <c r="CM50" s="546">
        <f t="shared" si="85"/>
        <v>-73.5332513834924</v>
      </c>
      <c r="CN50" s="546">
        <f t="shared" si="85"/>
        <v>-117.766895351096</v>
      </c>
      <c r="CO50" s="541">
        <f t="shared" si="85"/>
        <v>-156.448486090126</v>
      </c>
      <c r="CP50" s="546">
        <f t="shared" si="85"/>
        <v>-31.2831868820262</v>
      </c>
      <c r="CQ50" s="546">
        <f t="shared" si="85"/>
        <v>155.298139539894</v>
      </c>
      <c r="CR50" s="546">
        <f t="shared" si="85"/>
        <v>138.704181683944</v>
      </c>
      <c r="CS50" s="546">
        <f t="shared" ref="CS50:DF50" si="86">(CS49-CN49)*100*100</f>
        <v>189.992751948547</v>
      </c>
      <c r="CT50" s="541">
        <f t="shared" si="86"/>
        <v>131.835902405724</v>
      </c>
      <c r="CU50" s="546">
        <f t="shared" si="86"/>
        <v>77.7106436785674</v>
      </c>
      <c r="CV50" s="546">
        <f t="shared" si="86"/>
        <v>-22.44815932477</v>
      </c>
      <c r="CW50" s="546">
        <f t="shared" si="86"/>
        <v>-27.3266462523469</v>
      </c>
      <c r="CX50" s="546">
        <f t="shared" si="86"/>
        <v>64.136822578722</v>
      </c>
      <c r="CY50" s="541">
        <f t="shared" si="86"/>
        <v>21.7179216500385</v>
      </c>
      <c r="CZ50" s="546">
        <f t="shared" si="86"/>
        <v>163.454907069445</v>
      </c>
      <c r="DA50" s="546">
        <f t="shared" si="86"/>
        <v>91.1365233512734</v>
      </c>
      <c r="DB50" s="546">
        <f t="shared" si="86"/>
        <v>55.2317660883533</v>
      </c>
      <c r="DC50" s="546">
        <f t="shared" si="86"/>
        <v>99.8978362507202</v>
      </c>
      <c r="DD50" s="541">
        <f t="shared" si="86"/>
        <v>109.31140944775</v>
      </c>
      <c r="DE50" s="546">
        <f t="shared" si="86"/>
        <v>311.415039616389</v>
      </c>
      <c r="DF50" s="546">
        <f t="shared" si="86"/>
        <v>397.302012874582</v>
      </c>
      <c r="DG50" s="542">
        <v>800</v>
      </c>
      <c r="DH50" s="542">
        <v>300</v>
      </c>
      <c r="DI50" s="541">
        <f>(DI49-DD49)*100*100</f>
        <v>447.996247603454</v>
      </c>
      <c r="DJ50" s="542">
        <v>150</v>
      </c>
      <c r="DK50" s="542">
        <v>150</v>
      </c>
      <c r="DL50" s="542">
        <v>75</v>
      </c>
      <c r="DM50" s="542">
        <v>75</v>
      </c>
      <c r="DN50" s="541">
        <f>(DN49-DI49)*100*100</f>
        <v>108.831584730041</v>
      </c>
      <c r="DO50" s="542">
        <v>50</v>
      </c>
      <c r="DP50" s="542">
        <v>50</v>
      </c>
      <c r="DQ50" s="542">
        <v>50</v>
      </c>
      <c r="DR50" s="542">
        <v>50</v>
      </c>
      <c r="DS50" s="541">
        <f>(DS49-DN49)*100*100</f>
        <v>51.5352062109753</v>
      </c>
    </row>
    <row r="51" spans="1:123">
      <c r="B51" s="38"/>
      <c r="C51" s="531"/>
      <c r="D51" s="85"/>
      <c r="E51" s="85"/>
      <c r="F51" s="85"/>
      <c r="G51" s="85"/>
      <c r="H51" s="530"/>
      <c r="I51" s="87"/>
      <c r="J51" s="87"/>
      <c r="K51" s="87"/>
      <c r="L51" s="87"/>
      <c r="M51" s="530"/>
      <c r="N51" s="87"/>
      <c r="O51" s="87"/>
      <c r="P51" s="87"/>
      <c r="Q51" s="87"/>
      <c r="R51" s="530"/>
      <c r="S51" s="87"/>
      <c r="T51" s="87"/>
      <c r="U51" s="87"/>
      <c r="V51" s="87"/>
      <c r="W51" s="530"/>
      <c r="X51" s="87"/>
      <c r="Y51" s="87"/>
      <c r="Z51" s="87"/>
      <c r="AA51" s="87"/>
      <c r="AB51" s="530"/>
      <c r="AC51" s="87"/>
      <c r="AD51" s="87"/>
      <c r="AE51" s="87"/>
      <c r="AF51" s="87"/>
      <c r="AG51" s="530"/>
      <c r="AH51" s="87"/>
      <c r="AI51" s="87"/>
      <c r="AJ51" s="87"/>
      <c r="AK51" s="87"/>
      <c r="AL51" s="530"/>
      <c r="AM51" s="87"/>
      <c r="AN51" s="87"/>
      <c r="AO51" s="87"/>
      <c r="AP51" s="87"/>
      <c r="AQ51" s="530"/>
      <c r="AR51" s="87"/>
      <c r="AS51" s="87"/>
      <c r="AT51" s="87"/>
      <c r="AU51" s="87"/>
      <c r="AV51" s="530"/>
      <c r="AW51" s="87"/>
      <c r="AX51" s="87"/>
      <c r="AY51" s="87"/>
      <c r="AZ51" s="87"/>
      <c r="BA51" s="530"/>
      <c r="BB51" s="87"/>
      <c r="BC51" s="87"/>
      <c r="BD51" s="87"/>
      <c r="BE51" s="87"/>
      <c r="BF51" s="530"/>
      <c r="BG51" s="87"/>
      <c r="BH51" s="87"/>
      <c r="BI51" s="87"/>
      <c r="BJ51" s="87"/>
      <c r="BK51" s="530"/>
      <c r="BL51" s="87"/>
      <c r="BM51" s="87"/>
      <c r="BN51" s="87"/>
      <c r="BO51" s="87"/>
      <c r="BP51" s="530"/>
      <c r="BQ51" s="87"/>
      <c r="BR51" s="87"/>
      <c r="BS51" s="87"/>
      <c r="BT51" s="87"/>
      <c r="BU51" s="530"/>
      <c r="BV51" s="87"/>
      <c r="BW51" s="87"/>
      <c r="BX51" s="87"/>
      <c r="BY51" s="87"/>
      <c r="BZ51" s="530"/>
      <c r="CA51" s="87"/>
      <c r="CB51" s="87"/>
      <c r="CC51" s="87"/>
      <c r="CD51" s="87"/>
      <c r="CE51" s="530"/>
      <c r="CF51" s="532"/>
      <c r="CG51" s="87"/>
      <c r="CH51" s="87"/>
      <c r="CI51" s="87"/>
      <c r="CJ51" s="530"/>
      <c r="CK51" s="87"/>
      <c r="CL51" s="87"/>
      <c r="CM51" s="87"/>
      <c r="CN51" s="87"/>
      <c r="CO51" s="530"/>
      <c r="CP51" s="87"/>
      <c r="CQ51" s="87"/>
      <c r="CR51" s="87"/>
      <c r="CS51" s="87"/>
      <c r="CT51" s="530"/>
      <c r="CU51" s="87"/>
      <c r="CV51" s="87"/>
      <c r="CW51" s="87"/>
      <c r="CX51" s="87"/>
      <c r="CY51" s="530"/>
      <c r="CZ51" s="540"/>
      <c r="DA51" s="540"/>
      <c r="DB51" s="540"/>
      <c r="DC51" s="540"/>
      <c r="DD51" s="547"/>
      <c r="DE51" s="540"/>
      <c r="DF51" s="87"/>
      <c r="DG51" s="87"/>
      <c r="DH51" s="87"/>
      <c r="DI51" s="530"/>
      <c r="DJ51" s="87"/>
      <c r="DK51" s="532"/>
      <c r="DL51" s="87"/>
      <c r="DM51" s="87"/>
      <c r="DN51" s="530"/>
      <c r="DO51" s="87"/>
      <c r="DP51" s="87"/>
      <c r="DQ51" s="87"/>
      <c r="DR51" s="87"/>
      <c r="DS51" s="530"/>
    </row>
    <row r="52" spans="1:123">
      <c r="B52" s="198" t="s">
        <v>63</v>
      </c>
      <c r="C52" s="531"/>
      <c r="D52" s="85"/>
      <c r="E52" s="85"/>
      <c r="F52" s="85"/>
      <c r="G52" s="85"/>
      <c r="H52" s="530"/>
      <c r="I52" s="87"/>
      <c r="J52" s="87"/>
      <c r="K52" s="87"/>
      <c r="L52" s="87"/>
      <c r="M52" s="530"/>
      <c r="N52" s="87"/>
      <c r="O52" s="87"/>
      <c r="P52" s="87"/>
      <c r="Q52" s="87"/>
      <c r="R52" s="530"/>
      <c r="S52" s="87"/>
      <c r="T52" s="87"/>
      <c r="U52" s="87"/>
      <c r="V52" s="87"/>
      <c r="W52" s="530"/>
      <c r="X52" s="87"/>
      <c r="Y52" s="87"/>
      <c r="Z52" s="87"/>
      <c r="AA52" s="87"/>
      <c r="AB52" s="530"/>
      <c r="AC52" s="87"/>
      <c r="AD52" s="87"/>
      <c r="AE52" s="87"/>
      <c r="AF52" s="87"/>
      <c r="AG52" s="530"/>
      <c r="AH52" s="87"/>
      <c r="AI52" s="87"/>
      <c r="AJ52" s="87"/>
      <c r="AK52" s="87"/>
      <c r="AL52" s="530"/>
      <c r="AM52" s="87"/>
      <c r="AN52" s="87"/>
      <c r="AO52" s="87"/>
      <c r="AP52" s="87"/>
      <c r="AQ52" s="530"/>
      <c r="AR52" s="87"/>
      <c r="AS52" s="87"/>
      <c r="AT52" s="87"/>
      <c r="AU52" s="87"/>
      <c r="AV52" s="530"/>
      <c r="AW52" s="87"/>
      <c r="AX52" s="87"/>
      <c r="AY52" s="87"/>
      <c r="AZ52" s="87"/>
      <c r="BA52" s="530"/>
      <c r="BB52" s="87"/>
      <c r="BC52" s="87"/>
      <c r="BD52" s="87"/>
      <c r="BE52" s="87"/>
      <c r="BF52" s="530"/>
      <c r="BG52" s="87"/>
      <c r="BH52" s="87"/>
      <c r="BI52" s="87"/>
      <c r="BJ52" s="87"/>
      <c r="BK52" s="530"/>
      <c r="BL52" s="87"/>
      <c r="BM52" s="87"/>
      <c r="BN52" s="87"/>
      <c r="BO52" s="87"/>
      <c r="BP52" s="530"/>
      <c r="BQ52" s="87"/>
      <c r="BR52" s="87"/>
      <c r="BS52" s="87"/>
      <c r="BT52" s="87"/>
      <c r="BU52" s="530"/>
      <c r="BV52" s="172">
        <v>0</v>
      </c>
      <c r="BW52" s="172">
        <v>0</v>
      </c>
      <c r="BX52" s="172">
        <v>-0.007</v>
      </c>
      <c r="BY52" s="172">
        <v>0</v>
      </c>
      <c r="BZ52" s="124">
        <f>SUM(BV52:BY52)</f>
        <v>-0.007</v>
      </c>
      <c r="CA52" s="172">
        <v>0</v>
      </c>
      <c r="CB52" s="172">
        <v>0</v>
      </c>
      <c r="CC52" s="172">
        <v>-2.241</v>
      </c>
      <c r="CD52" s="172">
        <v>-2.195</v>
      </c>
      <c r="CE52" s="124">
        <f>SUM(CA52:CD52)</f>
        <v>-4.436</v>
      </c>
      <c r="CF52" s="172">
        <v>-2.195</v>
      </c>
      <c r="CG52" s="172">
        <f>-2.195-8.143+1.035+7.108</f>
        <v>-2.195</v>
      </c>
      <c r="CH52" s="172">
        <f>-2.195-24.127+23.799+0.328</f>
        <v>-2.195</v>
      </c>
      <c r="CI52" s="172">
        <f>-2.197-1.46+1.13+0.33</f>
        <v>-2.197</v>
      </c>
      <c r="CJ52" s="124">
        <f>SUM(CF52:CI52)</f>
        <v>-8.782</v>
      </c>
      <c r="CK52" s="128">
        <v>-2.195</v>
      </c>
      <c r="CL52" s="128">
        <v>-2.195</v>
      </c>
      <c r="CM52" s="128">
        <v>-2.189</v>
      </c>
      <c r="CN52" s="128">
        <f>-2.173-407.913+362.492+40.585+4.836</f>
        <v>-2.17299999999999</v>
      </c>
      <c r="CO52" s="127">
        <f>SUM(CK52:CN52)</f>
        <v>-8.75199999999999</v>
      </c>
      <c r="CP52" s="128">
        <v>-1.878</v>
      </c>
      <c r="CQ52" s="128">
        <v>-1.879</v>
      </c>
      <c r="CR52" s="128">
        <f>-1.253-74.501+44.186+30.315</f>
        <v>-1.253</v>
      </c>
      <c r="CS52" s="128">
        <v>0</v>
      </c>
      <c r="CT52" s="127">
        <f>SUM(CP52:CS52)</f>
        <v>-5.01</v>
      </c>
      <c r="CU52" s="128">
        <v>0</v>
      </c>
      <c r="CV52" s="128">
        <v>0</v>
      </c>
      <c r="CW52" s="128">
        <v>-1.118</v>
      </c>
      <c r="CX52" s="128">
        <v>-1.617</v>
      </c>
      <c r="CY52" s="127">
        <f>SUM(CU52:CX52)</f>
        <v>-2.735</v>
      </c>
      <c r="CZ52" s="128">
        <v>-1.63</v>
      </c>
      <c r="DA52" s="128">
        <v>-1.73</v>
      </c>
      <c r="DB52" s="128">
        <v>-1.776</v>
      </c>
      <c r="DC52" s="128">
        <f>-1.825</f>
        <v>-1.825</v>
      </c>
      <c r="DD52" s="127">
        <f>SUM(CZ52:DC52)</f>
        <v>-6.961</v>
      </c>
      <c r="DE52" s="128">
        <v>-1.884</v>
      </c>
      <c r="DF52" s="128">
        <v>-1.893</v>
      </c>
      <c r="DG52" s="548">
        <v>-1.5</v>
      </c>
      <c r="DH52" s="548">
        <v>-1.5</v>
      </c>
      <c r="DI52" s="127">
        <f>SUM(DE52:DH52)</f>
        <v>-6.777</v>
      </c>
      <c r="DJ52" s="548">
        <v>-1</v>
      </c>
      <c r="DK52" s="548">
        <v>-1</v>
      </c>
      <c r="DL52" s="548">
        <v>-1</v>
      </c>
      <c r="DM52" s="548">
        <v>-1</v>
      </c>
      <c r="DN52" s="127">
        <f>SUM(DJ52:DM52)</f>
        <v>-4</v>
      </c>
      <c r="DO52" s="548">
        <v>-1</v>
      </c>
      <c r="DP52" s="548">
        <v>-1</v>
      </c>
      <c r="DQ52" s="548">
        <v>-1</v>
      </c>
      <c r="DR52" s="548">
        <v>-1</v>
      </c>
      <c r="DS52" s="127">
        <f>SUM(DO52:DR52)</f>
        <v>-4</v>
      </c>
    </row>
    <row r="53" spans="1:123">
      <c r="B53" s="38" t="s">
        <v>69</v>
      </c>
      <c r="C53" s="531"/>
      <c r="D53" s="85"/>
      <c r="E53" s="85"/>
      <c r="F53" s="85"/>
      <c r="G53" s="85"/>
      <c r="H53" s="530"/>
      <c r="I53" s="87"/>
      <c r="J53" s="87"/>
      <c r="K53" s="87"/>
      <c r="L53" s="87"/>
      <c r="M53" s="530"/>
      <c r="N53" s="87"/>
      <c r="O53" s="87"/>
      <c r="P53" s="87"/>
      <c r="Q53" s="87"/>
      <c r="R53" s="530"/>
      <c r="S53" s="87"/>
      <c r="T53" s="87"/>
      <c r="U53" s="87"/>
      <c r="V53" s="87"/>
      <c r="W53" s="530"/>
      <c r="X53" s="87"/>
      <c r="Y53" s="87"/>
      <c r="Z53" s="87"/>
      <c r="AA53" s="87"/>
      <c r="AB53" s="530"/>
      <c r="AC53" s="87"/>
      <c r="AD53" s="87"/>
      <c r="AE53" s="87"/>
      <c r="AF53" s="87"/>
      <c r="AG53" s="530"/>
      <c r="AH53" s="87"/>
      <c r="AI53" s="87"/>
      <c r="AJ53" s="87"/>
      <c r="AK53" s="87"/>
      <c r="AL53" s="530"/>
      <c r="AM53" s="87"/>
      <c r="AN53" s="87"/>
      <c r="AO53" s="87"/>
      <c r="AP53" s="87"/>
      <c r="AQ53" s="530"/>
      <c r="AR53" s="87"/>
      <c r="AS53" s="87"/>
      <c r="AT53" s="87"/>
      <c r="AU53" s="87"/>
      <c r="AV53" s="530"/>
      <c r="AW53" s="87"/>
      <c r="AX53" s="87"/>
      <c r="AY53" s="87"/>
      <c r="AZ53" s="87"/>
      <c r="BA53" s="530"/>
      <c r="BB53" s="87"/>
      <c r="BC53" s="87"/>
      <c r="BD53" s="87"/>
      <c r="BE53" s="87"/>
      <c r="BF53" s="530"/>
      <c r="BG53" s="87"/>
      <c r="BH53" s="87"/>
      <c r="BI53" s="87"/>
      <c r="BJ53" s="87"/>
      <c r="BK53" s="530"/>
      <c r="BL53" s="87"/>
      <c r="BM53" s="87"/>
      <c r="BN53" s="87"/>
      <c r="BO53" s="87"/>
      <c r="BP53" s="530"/>
      <c r="BQ53" s="87"/>
      <c r="BR53" s="87"/>
      <c r="BS53" s="87"/>
      <c r="BT53" s="87"/>
      <c r="BU53" s="530"/>
      <c r="BV53" s="87"/>
      <c r="BW53" s="87"/>
      <c r="BX53" s="87"/>
      <c r="BY53" s="87"/>
      <c r="BZ53" s="530"/>
      <c r="CA53" s="141"/>
      <c r="CB53" s="141"/>
      <c r="CC53" s="141"/>
      <c r="CD53" s="141"/>
      <c r="CE53" s="140"/>
      <c r="CF53" s="141" t="str">
        <f t="shared" ref="CF53:CR53" si="87">IFERROR(CF52/CA52-1,"--")</f>
        <v>--</v>
      </c>
      <c r="CG53" s="141" t="str">
        <f t="shared" si="87"/>
        <v>--</v>
      </c>
      <c r="CH53" s="141">
        <f t="shared" si="87"/>
        <v>-0.0205265506470327</v>
      </c>
      <c r="CI53" s="141">
        <f t="shared" si="87"/>
        <v>0.000911161731207422</v>
      </c>
      <c r="CJ53" s="140">
        <f t="shared" si="87"/>
        <v>0.979711451758341</v>
      </c>
      <c r="CK53" s="141">
        <f t="shared" si="87"/>
        <v>0</v>
      </c>
      <c r="CL53" s="141">
        <f t="shared" si="87"/>
        <v>-5.55111512312578e-16</v>
      </c>
      <c r="CM53" s="141">
        <f t="shared" si="87"/>
        <v>-0.00273348519362182</v>
      </c>
      <c r="CN53" s="141">
        <f t="shared" si="87"/>
        <v>-0.0109239872553515</v>
      </c>
      <c r="CO53" s="140">
        <f t="shared" si="87"/>
        <v>-0.00341607834206425</v>
      </c>
      <c r="CP53" s="141">
        <f t="shared" si="87"/>
        <v>-0.144419134396355</v>
      </c>
      <c r="CQ53" s="141">
        <f t="shared" si="87"/>
        <v>-0.143963553530752</v>
      </c>
      <c r="CR53" s="141">
        <f t="shared" si="87"/>
        <v>-0.427592507994516</v>
      </c>
      <c r="CS53" s="141">
        <f t="shared" ref="CS53:CX53" si="88">IFERROR(CS52/CN52-1,"--")</f>
        <v>-1</v>
      </c>
      <c r="CT53" s="140">
        <f t="shared" si="88"/>
        <v>-0.427559414990858</v>
      </c>
      <c r="CU53" s="141">
        <f t="shared" si="88"/>
        <v>-1</v>
      </c>
      <c r="CV53" s="141">
        <f t="shared" si="88"/>
        <v>-1</v>
      </c>
      <c r="CW53" s="141">
        <f t="shared" si="88"/>
        <v>-0.107741420590585</v>
      </c>
      <c r="CX53" s="141" t="str">
        <f t="shared" si="88"/>
        <v>--</v>
      </c>
      <c r="CY53" s="140">
        <f t="shared" ref="CY53:DD53" si="89">IFERROR(CY52/CT52-1,"--")</f>
        <v>-0.454091816367266</v>
      </c>
      <c r="CZ53" s="141" t="str">
        <f t="shared" si="89"/>
        <v>--</v>
      </c>
      <c r="DA53" s="141" t="str">
        <f t="shared" si="89"/>
        <v>--</v>
      </c>
      <c r="DB53" s="141">
        <f t="shared" si="89"/>
        <v>0.588550983899821</v>
      </c>
      <c r="DC53" s="141">
        <f t="shared" si="89"/>
        <v>0.128633271490414</v>
      </c>
      <c r="DD53" s="140">
        <f t="shared" si="89"/>
        <v>1.54515539305302</v>
      </c>
      <c r="DE53" s="141">
        <f t="shared" ref="DE53:DN53" si="90">IFERROR(DE52/CZ52-1,"--")</f>
        <v>0.155828220858896</v>
      </c>
      <c r="DF53" s="141">
        <f t="shared" si="90"/>
        <v>0.0942196531791908</v>
      </c>
      <c r="DG53" s="141">
        <f t="shared" si="90"/>
        <v>-0.155405405405405</v>
      </c>
      <c r="DH53" s="141">
        <f t="shared" si="90"/>
        <v>-0.178082191780822</v>
      </c>
      <c r="DI53" s="140">
        <f t="shared" si="90"/>
        <v>-0.0264329837667002</v>
      </c>
      <c r="DJ53" s="141">
        <f t="shared" si="90"/>
        <v>-0.469214437367304</v>
      </c>
      <c r="DK53" s="141">
        <f t="shared" si="90"/>
        <v>-0.471737982039091</v>
      </c>
      <c r="DL53" s="141">
        <f t="shared" si="90"/>
        <v>-0.333333333333333</v>
      </c>
      <c r="DM53" s="141">
        <f t="shared" si="90"/>
        <v>-0.333333333333333</v>
      </c>
      <c r="DN53" s="140">
        <f t="shared" si="90"/>
        <v>-0.409768334071123</v>
      </c>
      <c r="DO53" s="141">
        <f t="shared" ref="DO53" si="91">IFERROR(DO52/DJ52-1,"--")</f>
        <v>0</v>
      </c>
      <c r="DP53" s="141">
        <f t="shared" ref="DP53" si="92">IFERROR(DP52/DK52-1,"--")</f>
        <v>0</v>
      </c>
      <c r="DQ53" s="141">
        <f t="shared" ref="DQ53" si="93">IFERROR(DQ52/DL52-1,"--")</f>
        <v>0</v>
      </c>
      <c r="DR53" s="141">
        <f t="shared" ref="DR53" si="94">IFERROR(DR52/DM52-1,"--")</f>
        <v>0</v>
      </c>
      <c r="DS53" s="140">
        <f t="shared" ref="DS53" si="95">IFERROR(DS52/DN52-1,"--")</f>
        <v>0</v>
      </c>
    </row>
    <row r="54" spans="1:123">
      <c r="B54" s="38"/>
      <c r="C54" s="531"/>
      <c r="D54" s="85"/>
      <c r="E54" s="85"/>
      <c r="F54" s="85"/>
      <c r="G54" s="85"/>
      <c r="H54" s="530"/>
      <c r="I54" s="87"/>
      <c r="J54" s="87"/>
      <c r="K54" s="87"/>
      <c r="L54" s="87"/>
      <c r="M54" s="530"/>
      <c r="N54" s="87"/>
      <c r="O54" s="87"/>
      <c r="P54" s="87"/>
      <c r="Q54" s="87"/>
      <c r="R54" s="530"/>
      <c r="S54" s="87"/>
      <c r="T54" s="87"/>
      <c r="U54" s="87"/>
      <c r="V54" s="87"/>
      <c r="W54" s="530"/>
      <c r="X54" s="87"/>
      <c r="Y54" s="87"/>
      <c r="Z54" s="87"/>
      <c r="AA54" s="87"/>
      <c r="AB54" s="530"/>
      <c r="AC54" s="87"/>
      <c r="AD54" s="87"/>
      <c r="AE54" s="87"/>
      <c r="AF54" s="87"/>
      <c r="AG54" s="530"/>
      <c r="AH54" s="87"/>
      <c r="AI54" s="87"/>
      <c r="AJ54" s="87"/>
      <c r="AK54" s="87"/>
      <c r="AL54" s="530"/>
      <c r="AM54" s="87"/>
      <c r="AN54" s="87"/>
      <c r="AO54" s="87"/>
      <c r="AP54" s="87"/>
      <c r="AQ54" s="530"/>
      <c r="AR54" s="87"/>
      <c r="AS54" s="87"/>
      <c r="AT54" s="87"/>
      <c r="AU54" s="87"/>
      <c r="AV54" s="530"/>
      <c r="AW54" s="87"/>
      <c r="AX54" s="87"/>
      <c r="AY54" s="87"/>
      <c r="AZ54" s="87"/>
      <c r="BA54" s="530"/>
      <c r="BB54" s="87"/>
      <c r="BC54" s="87"/>
      <c r="BD54" s="87"/>
      <c r="BE54" s="87"/>
      <c r="BF54" s="530"/>
      <c r="BG54" s="87"/>
      <c r="BH54" s="87"/>
      <c r="BI54" s="87"/>
      <c r="BJ54" s="87"/>
      <c r="BK54" s="530"/>
      <c r="BL54" s="87"/>
      <c r="BM54" s="87"/>
      <c r="BN54" s="87"/>
      <c r="BO54" s="87"/>
      <c r="BP54" s="530"/>
      <c r="BQ54" s="87"/>
      <c r="BR54" s="87"/>
      <c r="BS54" s="87"/>
      <c r="BT54" s="87"/>
      <c r="BU54" s="530"/>
      <c r="BV54" s="87"/>
      <c r="BW54" s="87"/>
      <c r="BX54" s="87"/>
      <c r="BY54" s="87"/>
      <c r="BZ54" s="530"/>
      <c r="CA54" s="87"/>
      <c r="CB54" s="87"/>
      <c r="CC54" s="87"/>
      <c r="CD54" s="549"/>
      <c r="CE54" s="530"/>
      <c r="CF54" s="87"/>
      <c r="CG54" s="87"/>
      <c r="CH54" s="87"/>
      <c r="CI54" s="87"/>
      <c r="CJ54" s="530"/>
      <c r="CK54" s="87"/>
      <c r="CL54" s="87"/>
      <c r="CM54" s="87"/>
      <c r="CN54" s="87"/>
      <c r="CO54" s="530"/>
      <c r="CP54" s="87"/>
      <c r="CQ54" s="87"/>
      <c r="CR54" s="87"/>
      <c r="CS54" s="87"/>
      <c r="CT54" s="530"/>
      <c r="CU54" s="87"/>
      <c r="CV54" s="87"/>
      <c r="CW54" s="87"/>
      <c r="CX54" s="87"/>
      <c r="CY54" s="530"/>
      <c r="CZ54" s="532"/>
      <c r="DA54" s="87"/>
      <c r="DB54" s="532"/>
      <c r="DC54" s="532"/>
      <c r="DD54" s="550"/>
      <c r="DE54" s="532"/>
      <c r="DF54" s="532"/>
      <c r="DG54" s="532"/>
      <c r="DH54" s="87"/>
      <c r="DI54" s="533"/>
      <c r="DJ54" s="87"/>
      <c r="DK54" s="87"/>
      <c r="DL54" s="87"/>
      <c r="DM54" s="87"/>
      <c r="DN54" s="530"/>
      <c r="DO54" s="87"/>
      <c r="DP54" s="87"/>
      <c r="DQ54" s="87"/>
      <c r="DR54" s="87"/>
      <c r="DS54" s="530"/>
    </row>
    <row r="55" s="3" customFormat="1" spans="1:123">
      <c r="A55" s="132"/>
      <c r="B55" s="227" t="s">
        <v>76</v>
      </c>
      <c r="C55" s="131">
        <f t="shared" ref="C55:AH55" si="96">C42+C47</f>
        <v>10.46</v>
      </c>
      <c r="D55" s="132">
        <f t="shared" si="96"/>
        <v>3.849</v>
      </c>
      <c r="E55" s="132">
        <f t="shared" si="96"/>
        <v>4.713</v>
      </c>
      <c r="F55" s="132">
        <f t="shared" si="96"/>
        <v>5.033</v>
      </c>
      <c r="G55" s="132">
        <f t="shared" si="96"/>
        <v>2.93937400000001</v>
      </c>
      <c r="H55" s="131">
        <f t="shared" si="96"/>
        <v>16.534374</v>
      </c>
      <c r="I55" s="132">
        <f t="shared" si="96"/>
        <v>6.114</v>
      </c>
      <c r="J55" s="132">
        <f t="shared" si="96"/>
        <v>3.23608</v>
      </c>
      <c r="K55" s="132">
        <f t="shared" si="96"/>
        <v>4.694344</v>
      </c>
      <c r="L55" s="132">
        <f t="shared" si="96"/>
        <v>9.39730000000002</v>
      </c>
      <c r="M55" s="131">
        <f t="shared" si="96"/>
        <v>23.441724</v>
      </c>
      <c r="N55" s="132">
        <f t="shared" si="96"/>
        <v>6.84819</v>
      </c>
      <c r="O55" s="132">
        <f t="shared" si="96"/>
        <v>9.769526</v>
      </c>
      <c r="P55" s="132">
        <f t="shared" si="96"/>
        <v>11.829728</v>
      </c>
      <c r="Q55" s="132">
        <f t="shared" si="96"/>
        <v>21.677361</v>
      </c>
      <c r="R55" s="131">
        <f t="shared" si="96"/>
        <v>50.1248049999999</v>
      </c>
      <c r="S55" s="132">
        <f t="shared" si="96"/>
        <v>11.720749</v>
      </c>
      <c r="T55" s="132">
        <f t="shared" si="96"/>
        <v>15.543722</v>
      </c>
      <c r="U55" s="132">
        <f t="shared" si="96"/>
        <v>13.055394</v>
      </c>
      <c r="V55" s="132">
        <f t="shared" si="96"/>
        <v>20.446</v>
      </c>
      <c r="W55" s="131">
        <f t="shared" si="96"/>
        <v>60.765865</v>
      </c>
      <c r="X55" s="132">
        <f t="shared" si="96"/>
        <v>9.85300000000001</v>
      </c>
      <c r="Y55" s="132">
        <f t="shared" si="96"/>
        <v>14.332</v>
      </c>
      <c r="Z55" s="132">
        <f t="shared" si="96"/>
        <v>20.926</v>
      </c>
      <c r="AA55" s="132">
        <f t="shared" si="96"/>
        <v>41.631</v>
      </c>
      <c r="AB55" s="131">
        <f t="shared" si="96"/>
        <v>86.742</v>
      </c>
      <c r="AC55" s="132">
        <f t="shared" si="96"/>
        <v>32.474</v>
      </c>
      <c r="AD55" s="132">
        <f t="shared" si="96"/>
        <v>34.243</v>
      </c>
      <c r="AE55" s="132">
        <f t="shared" si="96"/>
        <v>42.376</v>
      </c>
      <c r="AF55" s="132">
        <f t="shared" si="96"/>
        <v>71.298</v>
      </c>
      <c r="AG55" s="131">
        <f t="shared" si="96"/>
        <v>180.391</v>
      </c>
      <c r="AH55" s="132">
        <f t="shared" si="96"/>
        <v>51.687</v>
      </c>
      <c r="AI55" s="132">
        <f t="shared" ref="AI55:BN55" si="97">AI42+AI47</f>
        <v>59.483</v>
      </c>
      <c r="AJ55" s="132">
        <f t="shared" si="97"/>
        <v>59.721</v>
      </c>
      <c r="AK55" s="132">
        <f t="shared" si="97"/>
        <v>116.067</v>
      </c>
      <c r="AL55" s="131">
        <f t="shared" si="97"/>
        <v>286.958</v>
      </c>
      <c r="AM55" s="132">
        <f t="shared" si="97"/>
        <v>73.065</v>
      </c>
      <c r="AN55" s="132">
        <f t="shared" si="97"/>
        <v>70.188</v>
      </c>
      <c r="AO55" s="132">
        <f t="shared" si="97"/>
        <v>80.611</v>
      </c>
      <c r="AP55" s="132">
        <f t="shared" si="97"/>
        <v>152.575</v>
      </c>
      <c r="AQ55" s="131">
        <f t="shared" si="97"/>
        <v>376.439</v>
      </c>
      <c r="AR55" s="132">
        <f t="shared" si="97"/>
        <v>65.8890000000001</v>
      </c>
      <c r="AS55" s="132">
        <f t="shared" si="97"/>
        <v>78.986</v>
      </c>
      <c r="AT55" s="132">
        <f t="shared" si="97"/>
        <v>92.336</v>
      </c>
      <c r="AU55" s="132">
        <f t="shared" si="97"/>
        <v>154.147</v>
      </c>
      <c r="AV55" s="131">
        <f t="shared" si="97"/>
        <v>391.358</v>
      </c>
      <c r="AW55" s="132">
        <f t="shared" si="97"/>
        <v>69.801</v>
      </c>
      <c r="AX55" s="132">
        <f t="shared" si="97"/>
        <v>67.907</v>
      </c>
      <c r="AY55" s="132">
        <f t="shared" si="97"/>
        <v>81.156</v>
      </c>
      <c r="AZ55" s="132">
        <f t="shared" si="97"/>
        <v>157.188</v>
      </c>
      <c r="BA55" s="131">
        <f t="shared" si="97"/>
        <v>376.033</v>
      </c>
      <c r="BB55" s="132">
        <f t="shared" si="97"/>
        <v>68.036</v>
      </c>
      <c r="BC55" s="132">
        <f t="shared" si="97"/>
        <v>66.579</v>
      </c>
      <c r="BD55" s="132">
        <f t="shared" si="97"/>
        <v>68.178</v>
      </c>
      <c r="BE55" s="132">
        <f t="shared" si="97"/>
        <v>166.283</v>
      </c>
      <c r="BF55" s="131">
        <f t="shared" si="97"/>
        <v>369.076</v>
      </c>
      <c r="BG55" s="132">
        <f t="shared" si="97"/>
        <v>57.589</v>
      </c>
      <c r="BH55" s="132">
        <f t="shared" si="97"/>
        <v>73.959</v>
      </c>
      <c r="BI55" s="132">
        <f t="shared" si="97"/>
        <v>92.9750000000001</v>
      </c>
      <c r="BJ55" s="132">
        <f t="shared" si="97"/>
        <v>196.629</v>
      </c>
      <c r="BK55" s="131">
        <f t="shared" si="97"/>
        <v>421.152</v>
      </c>
      <c r="BL55" s="132">
        <f t="shared" si="97"/>
        <v>63.173</v>
      </c>
      <c r="BM55" s="132">
        <f t="shared" si="97"/>
        <v>74.1420000000001</v>
      </c>
      <c r="BN55" s="132">
        <f t="shared" si="97"/>
        <v>107.789</v>
      </c>
      <c r="BO55" s="132">
        <f t="shared" ref="BO55:BU55" si="98">BO42+BO47</f>
        <v>258.136</v>
      </c>
      <c r="BP55" s="131">
        <f t="shared" si="98"/>
        <v>503.224</v>
      </c>
      <c r="BQ55" s="132">
        <f t="shared" si="98"/>
        <v>104.305</v>
      </c>
      <c r="BR55" s="132">
        <f t="shared" si="98"/>
        <v>134.208</v>
      </c>
      <c r="BS55" s="132">
        <f t="shared" si="98"/>
        <v>135.903</v>
      </c>
      <c r="BT55" s="132">
        <f t="shared" si="98"/>
        <v>331.42</v>
      </c>
      <c r="BU55" s="131">
        <f t="shared" si="98"/>
        <v>705.836</v>
      </c>
      <c r="BV55" s="132">
        <f t="shared" ref="BV55:CD55" si="99">BV42+BV47+BV52</f>
        <v>128.812</v>
      </c>
      <c r="BW55" s="132">
        <f t="shared" si="99"/>
        <v>167.982</v>
      </c>
      <c r="BX55" s="132">
        <f t="shared" si="99"/>
        <v>175.829</v>
      </c>
      <c r="BY55" s="132">
        <f t="shared" si="99"/>
        <v>416.487</v>
      </c>
      <c r="BZ55" s="131">
        <f t="shared" si="99"/>
        <v>889.11</v>
      </c>
      <c r="CA55" s="132">
        <f t="shared" si="99"/>
        <v>32.751</v>
      </c>
      <c r="CB55" s="132">
        <f t="shared" si="99"/>
        <v>135.873</v>
      </c>
      <c r="CC55" s="132">
        <f t="shared" si="99"/>
        <v>213.451</v>
      </c>
      <c r="CD55" s="132">
        <f t="shared" si="99"/>
        <v>465.708</v>
      </c>
      <c r="CE55" s="131">
        <f>CE26</f>
        <v>847.783</v>
      </c>
      <c r="CF55" s="132">
        <f>CF42+CF47+CF52</f>
        <v>201.485</v>
      </c>
      <c r="CG55" s="132">
        <f>CG42+CG47+CG52</f>
        <v>299.174</v>
      </c>
      <c r="CH55" s="132">
        <f>CH42+CH47+CH52</f>
        <v>282.074</v>
      </c>
      <c r="CI55" s="132">
        <f>CI42+CI47+CI52</f>
        <v>592.016</v>
      </c>
      <c r="CJ55" s="131">
        <f>CJ26</f>
        <v>1374.749</v>
      </c>
      <c r="CK55" s="133">
        <f>CK42+CK47+CK52</f>
        <v>260.347</v>
      </c>
      <c r="CL55" s="133">
        <f>CL42+CL47+CL52</f>
        <v>391.028</v>
      </c>
      <c r="CM55" s="133">
        <f>CM42+CM47+CM52</f>
        <v>352.427</v>
      </c>
      <c r="CN55" s="133">
        <f>CN42+CN47+CN52</f>
        <v>785.267</v>
      </c>
      <c r="CO55" s="134">
        <f>CO26</f>
        <v>1789.069</v>
      </c>
      <c r="CP55" s="133">
        <f>CP42+CP47+CP52</f>
        <v>401.414</v>
      </c>
      <c r="CQ55" s="133">
        <f>CQ42+CQ47+CQ52</f>
        <v>479.257</v>
      </c>
      <c r="CR55" s="133">
        <f>CR42+CR47+CR52</f>
        <v>436.325</v>
      </c>
      <c r="CS55" s="133">
        <f>CS42+CS47+CS52</f>
        <v>913.89</v>
      </c>
      <c r="CT55" s="134">
        <f>CT26</f>
        <v>2230.886</v>
      </c>
      <c r="CU55" s="133">
        <f t="shared" ref="CU55:DN55" si="100">CU42+CU47+CU52</f>
        <v>432.642</v>
      </c>
      <c r="CV55" s="133">
        <f t="shared" si="100"/>
        <v>540.226</v>
      </c>
      <c r="CW55" s="133">
        <f t="shared" si="100"/>
        <v>490.661</v>
      </c>
      <c r="CX55" s="133">
        <f t="shared" si="100"/>
        <v>1042.168</v>
      </c>
      <c r="CY55" s="134">
        <f t="shared" si="100"/>
        <v>2505.697</v>
      </c>
      <c r="CZ55" s="133">
        <f t="shared" si="100"/>
        <v>438.625</v>
      </c>
      <c r="DA55" s="133">
        <f t="shared" si="100"/>
        <v>523.814</v>
      </c>
      <c r="DB55" s="133">
        <f t="shared" ref="DB55" si="101">DB42+DB47+DB52</f>
        <v>435.886</v>
      </c>
      <c r="DC55" s="133">
        <f t="shared" si="100"/>
        <v>812.29</v>
      </c>
      <c r="DD55" s="134">
        <f t="shared" si="100"/>
        <v>2210.615</v>
      </c>
      <c r="DE55" s="133">
        <f t="shared" si="100"/>
        <v>276.946</v>
      </c>
      <c r="DF55" s="133">
        <f t="shared" si="100"/>
        <v>453.653</v>
      </c>
      <c r="DG55" s="133">
        <f t="shared" si="100"/>
        <v>150.327030427514</v>
      </c>
      <c r="DH55" s="133">
        <f t="shared" si="100"/>
        <v>630.395880336232</v>
      </c>
      <c r="DI55" s="134">
        <f t="shared" si="100"/>
        <v>1511.32191076375</v>
      </c>
      <c r="DJ55" s="133">
        <f t="shared" si="100"/>
        <v>237.026159490229</v>
      </c>
      <c r="DK55" s="133">
        <f t="shared" si="100"/>
        <v>282.250766025101</v>
      </c>
      <c r="DL55" s="133">
        <f t="shared" si="100"/>
        <v>129.39599293361</v>
      </c>
      <c r="DM55" s="133">
        <f t="shared" si="100"/>
        <v>593.628710467763</v>
      </c>
      <c r="DN55" s="134">
        <f t="shared" si="100"/>
        <v>1242.3016289167</v>
      </c>
      <c r="DO55" s="133">
        <f t="shared" ref="DO55:DS55" si="102">DO42+DO47+DO52</f>
        <v>225.793537255408</v>
      </c>
      <c r="DP55" s="133">
        <f t="shared" si="102"/>
        <v>271.340069831385</v>
      </c>
      <c r="DQ55" s="133">
        <f t="shared" si="102"/>
        <v>117.407586247066</v>
      </c>
      <c r="DR55" s="133">
        <f t="shared" si="102"/>
        <v>577.900712546466</v>
      </c>
      <c r="DS55" s="134">
        <f t="shared" si="102"/>
        <v>1192.44190588033</v>
      </c>
    </row>
    <row r="56" s="3" customFormat="1" spans="1:123">
      <c r="A56" s="132"/>
      <c r="B56" s="38" t="s">
        <v>69</v>
      </c>
      <c r="C56" s="528"/>
      <c r="D56" s="529"/>
      <c r="E56" s="529"/>
      <c r="F56" s="529"/>
      <c r="G56" s="529"/>
      <c r="H56" s="530">
        <f t="shared" ref="H56:AM56" si="103">H55/C55-1</f>
        <v>0.580724091778203</v>
      </c>
      <c r="I56" s="87">
        <f t="shared" si="103"/>
        <v>0.588464536243181</v>
      </c>
      <c r="J56" s="87">
        <f t="shared" si="103"/>
        <v>-0.313371525567579</v>
      </c>
      <c r="K56" s="87">
        <f t="shared" si="103"/>
        <v>-0.0672871051062977</v>
      </c>
      <c r="L56" s="87">
        <f t="shared" si="103"/>
        <v>2.19704127477483</v>
      </c>
      <c r="M56" s="530">
        <f t="shared" si="103"/>
        <v>0.417756971022914</v>
      </c>
      <c r="N56" s="87">
        <f t="shared" si="103"/>
        <v>0.120083415112856</v>
      </c>
      <c r="O56" s="87">
        <f t="shared" si="103"/>
        <v>2.01893834515834</v>
      </c>
      <c r="P56" s="87">
        <f t="shared" si="103"/>
        <v>1.5199959781388</v>
      </c>
      <c r="Q56" s="87">
        <f t="shared" si="103"/>
        <v>1.3067648154257</v>
      </c>
      <c r="R56" s="530">
        <f t="shared" si="103"/>
        <v>1.13827297855737</v>
      </c>
      <c r="S56" s="87">
        <f t="shared" si="103"/>
        <v>0.711510486712546</v>
      </c>
      <c r="T56" s="87">
        <f t="shared" si="103"/>
        <v>0.591041571515342</v>
      </c>
      <c r="U56" s="87">
        <f t="shared" si="103"/>
        <v>0.103608975624799</v>
      </c>
      <c r="V56" s="87">
        <f t="shared" si="103"/>
        <v>-0.056804008569123</v>
      </c>
      <c r="W56" s="530">
        <f t="shared" si="103"/>
        <v>0.212291299686853</v>
      </c>
      <c r="X56" s="87">
        <f t="shared" si="103"/>
        <v>-0.15935406517109</v>
      </c>
      <c r="Y56" s="87">
        <f t="shared" si="103"/>
        <v>-0.0779557174272673</v>
      </c>
      <c r="Z56" s="87">
        <f t="shared" si="103"/>
        <v>0.602862387760953</v>
      </c>
      <c r="AA56" s="87">
        <f t="shared" si="103"/>
        <v>1.03614398904431</v>
      </c>
      <c r="AB56" s="530">
        <f t="shared" si="103"/>
        <v>0.427479062463771</v>
      </c>
      <c r="AC56" s="87">
        <f t="shared" si="103"/>
        <v>2.29584898000609</v>
      </c>
      <c r="AD56" s="87">
        <f t="shared" si="103"/>
        <v>1.38926876918783</v>
      </c>
      <c r="AE56" s="87">
        <f t="shared" si="103"/>
        <v>1.02504061932524</v>
      </c>
      <c r="AF56" s="87">
        <f t="shared" si="103"/>
        <v>0.712618001008864</v>
      </c>
      <c r="AG56" s="530">
        <f t="shared" si="103"/>
        <v>1.07962693966014</v>
      </c>
      <c r="AH56" s="87">
        <f t="shared" si="103"/>
        <v>0.591642544805075</v>
      </c>
      <c r="AI56" s="87">
        <f t="shared" si="103"/>
        <v>0.737084951668954</v>
      </c>
      <c r="AJ56" s="87">
        <f t="shared" si="103"/>
        <v>0.409311874646026</v>
      </c>
      <c r="AK56" s="87">
        <f t="shared" si="103"/>
        <v>0.627913826474796</v>
      </c>
      <c r="AL56" s="530">
        <f t="shared" si="103"/>
        <v>0.590755636367668</v>
      </c>
      <c r="AM56" s="87">
        <f t="shared" si="103"/>
        <v>0.413604968367287</v>
      </c>
      <c r="AN56" s="87">
        <f t="shared" ref="AN56:BS56" si="104">AN55/AI55-1</f>
        <v>0.179967385639594</v>
      </c>
      <c r="AO56" s="87">
        <f t="shared" si="104"/>
        <v>0.349793205070244</v>
      </c>
      <c r="AP56" s="87">
        <f t="shared" si="104"/>
        <v>0.314542462543186</v>
      </c>
      <c r="AQ56" s="530">
        <f t="shared" si="104"/>
        <v>0.311826120895741</v>
      </c>
      <c r="AR56" s="87">
        <f t="shared" si="104"/>
        <v>-0.0982139191131175</v>
      </c>
      <c r="AS56" s="87">
        <f t="shared" si="104"/>
        <v>0.125349062517809</v>
      </c>
      <c r="AT56" s="87">
        <f t="shared" si="104"/>
        <v>0.145451613303394</v>
      </c>
      <c r="AU56" s="87">
        <f t="shared" si="104"/>
        <v>0.0103031296083902</v>
      </c>
      <c r="AV56" s="530">
        <f t="shared" si="104"/>
        <v>0.0396319191157137</v>
      </c>
      <c r="AW56" s="87">
        <f t="shared" si="104"/>
        <v>0.0593725811592216</v>
      </c>
      <c r="AX56" s="87">
        <f t="shared" si="104"/>
        <v>-0.140265363482136</v>
      </c>
      <c r="AY56" s="87">
        <f t="shared" si="104"/>
        <v>-0.12107953560908</v>
      </c>
      <c r="AZ56" s="87">
        <f t="shared" si="104"/>
        <v>0.0197279220484337</v>
      </c>
      <c r="BA56" s="530">
        <f t="shared" si="104"/>
        <v>-0.0391585198207269</v>
      </c>
      <c r="BB56" s="87">
        <f t="shared" si="104"/>
        <v>-0.0252861706852333</v>
      </c>
      <c r="BC56" s="87">
        <f t="shared" si="104"/>
        <v>-0.019556157686247</v>
      </c>
      <c r="BD56" s="87">
        <f t="shared" si="104"/>
        <v>-0.159914239242939</v>
      </c>
      <c r="BE56" s="87">
        <f t="shared" si="104"/>
        <v>0.0578606509402757</v>
      </c>
      <c r="BF56" s="530">
        <f t="shared" si="104"/>
        <v>-0.0185010358133462</v>
      </c>
      <c r="BG56" s="87">
        <f t="shared" si="104"/>
        <v>-0.153551061202893</v>
      </c>
      <c r="BH56" s="87">
        <f t="shared" si="104"/>
        <v>0.110845762177262</v>
      </c>
      <c r="BI56" s="87">
        <f t="shared" si="104"/>
        <v>0.363709701076594</v>
      </c>
      <c r="BJ56" s="87">
        <f t="shared" si="104"/>
        <v>0.182496106036094</v>
      </c>
      <c r="BK56" s="530">
        <f t="shared" si="104"/>
        <v>0.141098310375098</v>
      </c>
      <c r="BL56" s="87">
        <f t="shared" si="104"/>
        <v>0.0969629616767103</v>
      </c>
      <c r="BM56" s="87">
        <f t="shared" si="104"/>
        <v>0.00247434389323953</v>
      </c>
      <c r="BN56" s="87">
        <f t="shared" si="104"/>
        <v>0.159333154073676</v>
      </c>
      <c r="BO56" s="87">
        <f t="shared" si="104"/>
        <v>0.312807368190858</v>
      </c>
      <c r="BP56" s="530">
        <f t="shared" si="104"/>
        <v>0.194875009497759</v>
      </c>
      <c r="BQ56" s="87">
        <f t="shared" si="104"/>
        <v>0.651100945023981</v>
      </c>
      <c r="BR56" s="87">
        <f t="shared" si="104"/>
        <v>0.810148094197618</v>
      </c>
      <c r="BS56" s="87">
        <f t="shared" si="104"/>
        <v>0.260824388388424</v>
      </c>
      <c r="BT56" s="87">
        <f t="shared" ref="BT56:CR56" si="105">BT55/BO55-1</f>
        <v>0.283896860569622</v>
      </c>
      <c r="BU56" s="530">
        <f t="shared" si="105"/>
        <v>0.402627855587173</v>
      </c>
      <c r="BV56" s="87">
        <f t="shared" si="105"/>
        <v>0.234955179521595</v>
      </c>
      <c r="BW56" s="87">
        <f t="shared" si="105"/>
        <v>0.251654148783977</v>
      </c>
      <c r="BX56" s="87">
        <f t="shared" si="105"/>
        <v>0.293783065863153</v>
      </c>
      <c r="BY56" s="87">
        <f t="shared" si="105"/>
        <v>0.256674310542514</v>
      </c>
      <c r="BZ56" s="530">
        <f t="shared" si="105"/>
        <v>0.259655217359273</v>
      </c>
      <c r="CA56" s="87">
        <f t="shared" si="105"/>
        <v>-0.745745737974723</v>
      </c>
      <c r="CB56" s="87">
        <f t="shared" si="105"/>
        <v>-0.191145479872843</v>
      </c>
      <c r="CC56" s="87">
        <f t="shared" si="105"/>
        <v>0.213969254218587</v>
      </c>
      <c r="CD56" s="87">
        <f t="shared" si="105"/>
        <v>0.118181359802346</v>
      </c>
      <c r="CE56" s="530">
        <f t="shared" si="105"/>
        <v>-0.046481312773447</v>
      </c>
      <c r="CF56" s="87">
        <f t="shared" si="105"/>
        <v>5.15202589233917</v>
      </c>
      <c r="CG56" s="87">
        <f t="shared" si="105"/>
        <v>1.20186497685338</v>
      </c>
      <c r="CH56" s="87">
        <f t="shared" si="105"/>
        <v>0.321492989023242</v>
      </c>
      <c r="CI56" s="87">
        <f t="shared" si="105"/>
        <v>0.271217157532188</v>
      </c>
      <c r="CJ56" s="530">
        <f t="shared" si="105"/>
        <v>0.621581230102515</v>
      </c>
      <c r="CK56" s="87">
        <f t="shared" si="105"/>
        <v>0.292140854157878</v>
      </c>
      <c r="CL56" s="87">
        <f t="shared" si="105"/>
        <v>0.307025343111367</v>
      </c>
      <c r="CM56" s="87">
        <f t="shared" si="105"/>
        <v>0.249413274530796</v>
      </c>
      <c r="CN56" s="87">
        <f t="shared" si="105"/>
        <v>0.326428677603309</v>
      </c>
      <c r="CO56" s="530">
        <f t="shared" si="105"/>
        <v>0.301378651666595</v>
      </c>
      <c r="CP56" s="87">
        <f t="shared" si="105"/>
        <v>0.541842233634342</v>
      </c>
      <c r="CQ56" s="87">
        <f t="shared" si="105"/>
        <v>0.225633458473562</v>
      </c>
      <c r="CR56" s="87">
        <f t="shared" si="105"/>
        <v>0.238057810553675</v>
      </c>
      <c r="CS56" s="87">
        <f t="shared" ref="CS56:DB56" si="106">CS55/CN55-1</f>
        <v>0.16379524416536</v>
      </c>
      <c r="CT56" s="530">
        <f t="shared" si="106"/>
        <v>0.246953583120606</v>
      </c>
      <c r="CU56" s="87">
        <f t="shared" si="106"/>
        <v>0.0777949946937584</v>
      </c>
      <c r="CV56" s="87">
        <f t="shared" si="106"/>
        <v>0.127215669254701</v>
      </c>
      <c r="CW56" s="87">
        <f t="shared" si="106"/>
        <v>0.12453102618461</v>
      </c>
      <c r="CX56" s="87">
        <f t="shared" si="106"/>
        <v>0.140364814146122</v>
      </c>
      <c r="CY56" s="530">
        <f t="shared" ref="CY56:DD56" si="107">CY55/CT55-1</f>
        <v>0.123184689849683</v>
      </c>
      <c r="CZ56" s="87">
        <f t="shared" si="106"/>
        <v>0.0138289856278393</v>
      </c>
      <c r="DA56" s="87">
        <f t="shared" si="106"/>
        <v>-0.0303798780510379</v>
      </c>
      <c r="DB56" s="87">
        <f t="shared" si="106"/>
        <v>-0.111635120786041</v>
      </c>
      <c r="DC56" s="87">
        <f t="shared" si="107"/>
        <v>-0.220576720835796</v>
      </c>
      <c r="DD56" s="530">
        <f t="shared" si="107"/>
        <v>-0.117764438397779</v>
      </c>
      <c r="DE56" s="87">
        <f t="shared" ref="DE56:DN56" si="108">DE55/CZ55-1</f>
        <v>-0.368604160729552</v>
      </c>
      <c r="DF56" s="87">
        <f t="shared" si="108"/>
        <v>-0.133942582672476</v>
      </c>
      <c r="DG56" s="87">
        <f t="shared" si="108"/>
        <v>-0.655123058718303</v>
      </c>
      <c r="DH56" s="87">
        <f t="shared" si="108"/>
        <v>-0.223927562402304</v>
      </c>
      <c r="DI56" s="530">
        <f t="shared" si="108"/>
        <v>-0.316334182675977</v>
      </c>
      <c r="DJ56" s="87">
        <f t="shared" si="108"/>
        <v>-0.144143047777441</v>
      </c>
      <c r="DK56" s="87">
        <f t="shared" si="108"/>
        <v>-0.377826739765633</v>
      </c>
      <c r="DL56" s="87">
        <f t="shared" si="108"/>
        <v>-0.139236685740269</v>
      </c>
      <c r="DM56" s="87">
        <f t="shared" si="108"/>
        <v>-0.0583239374103448</v>
      </c>
      <c r="DN56" s="530">
        <f t="shared" si="108"/>
        <v>-0.178003296273986</v>
      </c>
      <c r="DO56" s="87">
        <f t="shared" ref="DO56" si="109">DO55/DJ55-1</f>
        <v>-0.047389799754504</v>
      </c>
      <c r="DP56" s="87">
        <f t="shared" ref="DP56" si="110">DP55/DK55-1</f>
        <v>-0.0386560374923697</v>
      </c>
      <c r="DQ56" s="87">
        <f t="shared" ref="DQ56" si="111">DQ55/DL55-1</f>
        <v>-0.0926489794216058</v>
      </c>
      <c r="DR56" s="87">
        <f t="shared" ref="DR56" si="112">DR55/DM55-1</f>
        <v>-0.0264946719118486</v>
      </c>
      <c r="DS56" s="530">
        <f t="shared" ref="DS56" si="113">DS55/DN55-1</f>
        <v>-0.0401349574658885</v>
      </c>
    </row>
    <row r="57" s="3" customFormat="1" spans="1:123">
      <c r="A57" s="132"/>
      <c r="B57" s="144" t="s">
        <v>72</v>
      </c>
      <c r="C57" s="530">
        <f t="shared" ref="C57:AH57" si="114">C55/C$37</f>
        <v>0.256693415789344</v>
      </c>
      <c r="D57" s="87">
        <f t="shared" si="114"/>
        <v>0.246257197696737</v>
      </c>
      <c r="E57" s="87">
        <f t="shared" si="114"/>
        <v>0.275195609015532</v>
      </c>
      <c r="F57" s="87">
        <f t="shared" si="114"/>
        <v>0.251851481184948</v>
      </c>
      <c r="G57" s="87">
        <f t="shared" si="114"/>
        <v>0.0936431645221481</v>
      </c>
      <c r="H57" s="530">
        <f t="shared" si="114"/>
        <v>0.196535745369322</v>
      </c>
      <c r="I57" s="87">
        <f t="shared" si="114"/>
        <v>0.216931592392847</v>
      </c>
      <c r="J57" s="87">
        <f t="shared" si="114"/>
        <v>0.099518298444001</v>
      </c>
      <c r="K57" s="87">
        <f t="shared" si="114"/>
        <v>0.130515854331737</v>
      </c>
      <c r="L57" s="87">
        <f t="shared" si="114"/>
        <v>0.179970492446135</v>
      </c>
      <c r="M57" s="530">
        <f t="shared" si="114"/>
        <v>0.157448702935049</v>
      </c>
      <c r="N57" s="87">
        <f t="shared" si="114"/>
        <v>0.152897369416588</v>
      </c>
      <c r="O57" s="87">
        <f t="shared" si="114"/>
        <v>0.166485494848208</v>
      </c>
      <c r="P57" s="87">
        <f t="shared" si="114"/>
        <v>0.17883111001193</v>
      </c>
      <c r="Q57" s="87">
        <f t="shared" si="114"/>
        <v>0.206269053188192</v>
      </c>
      <c r="R57" s="530">
        <f t="shared" si="114"/>
        <v>0.182462224766903</v>
      </c>
      <c r="S57" s="87">
        <f t="shared" si="114"/>
        <v>0.149944029163836</v>
      </c>
      <c r="T57" s="87">
        <f t="shared" si="114"/>
        <v>0.18183147082006</v>
      </c>
      <c r="U57" s="87">
        <f t="shared" si="114"/>
        <v>0.149980743191605</v>
      </c>
      <c r="V57" s="87">
        <f t="shared" si="114"/>
        <v>0.196745604834442</v>
      </c>
      <c r="W57" s="530">
        <f t="shared" si="114"/>
        <v>0.17135494433628</v>
      </c>
      <c r="X57" s="87">
        <f t="shared" si="114"/>
        <v>0.120629285014692</v>
      </c>
      <c r="Y57" s="87">
        <f t="shared" si="114"/>
        <v>0.146662436937813</v>
      </c>
      <c r="Z57" s="87">
        <f t="shared" si="114"/>
        <v>0.185364643771426</v>
      </c>
      <c r="AA57" s="87">
        <f t="shared" si="114"/>
        <v>0.259211984608296</v>
      </c>
      <c r="AB57" s="530">
        <f t="shared" si="114"/>
        <v>0.191526568896308</v>
      </c>
      <c r="AC57" s="87">
        <f t="shared" si="114"/>
        <v>0.234813481131189</v>
      </c>
      <c r="AD57" s="87">
        <f t="shared" si="114"/>
        <v>0.224975034163776</v>
      </c>
      <c r="AE57" s="87">
        <f t="shared" si="114"/>
        <v>0.241046643913538</v>
      </c>
      <c r="AF57" s="87">
        <f t="shared" si="114"/>
        <v>0.29053908125135</v>
      </c>
      <c r="AG57" s="530">
        <f t="shared" si="114"/>
        <v>0.253463518541416</v>
      </c>
      <c r="AH57" s="87">
        <f t="shared" si="114"/>
        <v>0.276726630260199</v>
      </c>
      <c r="AI57" s="87">
        <f t="shared" ref="AI57:BN57" si="115">AI55/AI$37</f>
        <v>0.280153351261992</v>
      </c>
      <c r="AJ57" s="87">
        <f t="shared" si="115"/>
        <v>0.259412899190326</v>
      </c>
      <c r="AK57" s="87">
        <f t="shared" si="115"/>
        <v>0.312411175710594</v>
      </c>
      <c r="AL57" s="530">
        <f t="shared" si="115"/>
        <v>0.28671744406443</v>
      </c>
      <c r="AM57" s="87">
        <f t="shared" si="115"/>
        <v>0.255742077298406</v>
      </c>
      <c r="AN57" s="87">
        <f t="shared" si="115"/>
        <v>0.248335302900571</v>
      </c>
      <c r="AO57" s="87">
        <f t="shared" si="115"/>
        <v>0.254665331383061</v>
      </c>
      <c r="AP57" s="87">
        <f t="shared" si="115"/>
        <v>0.314270766175959</v>
      </c>
      <c r="AQ57" s="530">
        <f t="shared" si="115"/>
        <v>0.274701209464972</v>
      </c>
      <c r="AR57" s="87">
        <f t="shared" si="115"/>
        <v>0.190550693789729</v>
      </c>
      <c r="AS57" s="87">
        <f t="shared" si="115"/>
        <v>0.229268561708847</v>
      </c>
      <c r="AT57" s="87">
        <f t="shared" si="115"/>
        <v>0.243053435114504</v>
      </c>
      <c r="AU57" s="87">
        <f t="shared" si="115"/>
        <v>0.295871537621427</v>
      </c>
      <c r="AV57" s="530">
        <f t="shared" si="115"/>
        <v>0.245953338009085</v>
      </c>
      <c r="AW57" s="87">
        <f t="shared" si="115"/>
        <v>0.181481365926712</v>
      </c>
      <c r="AX57" s="87">
        <f t="shared" si="115"/>
        <v>0.173796538247933</v>
      </c>
      <c r="AY57" s="87">
        <f t="shared" si="115"/>
        <v>0.193506852711995</v>
      </c>
      <c r="AZ57" s="87">
        <f t="shared" si="115"/>
        <v>0.260896843272348</v>
      </c>
      <c r="BA57" s="530">
        <f t="shared" si="115"/>
        <v>0.209231181835431</v>
      </c>
      <c r="BB57" s="87">
        <f t="shared" si="115"/>
        <v>0.160635022571445</v>
      </c>
      <c r="BC57" s="87">
        <f t="shared" si="115"/>
        <v>0.146970265557052</v>
      </c>
      <c r="BD57" s="87">
        <f t="shared" si="115"/>
        <v>0.142128402957725</v>
      </c>
      <c r="BE57" s="87">
        <f t="shared" si="115"/>
        <v>0.236104879337078</v>
      </c>
      <c r="BF57" s="530">
        <f t="shared" si="115"/>
        <v>0.179117631785717</v>
      </c>
      <c r="BG57" s="87">
        <f t="shared" si="115"/>
        <v>0.116220263321467</v>
      </c>
      <c r="BH57" s="87">
        <f t="shared" si="115"/>
        <v>0.143743683433103</v>
      </c>
      <c r="BI57" s="87">
        <f t="shared" si="115"/>
        <v>0.170779330511962</v>
      </c>
      <c r="BJ57" s="87">
        <f t="shared" si="115"/>
        <v>0.248916373395448</v>
      </c>
      <c r="BK57" s="530">
        <f t="shared" si="115"/>
        <v>0.179642312377793</v>
      </c>
      <c r="BL57" s="87">
        <f t="shared" si="115"/>
        <v>0.121414856997888</v>
      </c>
      <c r="BM57" s="87">
        <f t="shared" si="115"/>
        <v>0.127599156016481</v>
      </c>
      <c r="BN57" s="87">
        <f t="shared" si="115"/>
        <v>0.1741245230472</v>
      </c>
      <c r="BO57" s="87">
        <f t="shared" ref="BO57:CI57" si="116">BO55/BO$37</f>
        <v>0.277923604815666</v>
      </c>
      <c r="BP57" s="530">
        <f t="shared" si="116"/>
        <v>0.18995455576648</v>
      </c>
      <c r="BQ57" s="87">
        <f t="shared" si="116"/>
        <v>0.160541845080698</v>
      </c>
      <c r="BR57" s="87">
        <f t="shared" si="116"/>
        <v>0.185498272287491</v>
      </c>
      <c r="BS57" s="87">
        <f t="shared" si="116"/>
        <v>0.181772341521156</v>
      </c>
      <c r="BT57" s="87">
        <f t="shared" si="116"/>
        <v>0.283881732790387</v>
      </c>
      <c r="BU57" s="530">
        <f t="shared" si="116"/>
        <v>0.214649491122972</v>
      </c>
      <c r="BV57" s="87">
        <f t="shared" si="116"/>
        <v>0.164654902436998</v>
      </c>
      <c r="BW57" s="87">
        <f t="shared" si="116"/>
        <v>0.190164283320805</v>
      </c>
      <c r="BX57" s="87">
        <f t="shared" si="116"/>
        <v>0.19192414243269</v>
      </c>
      <c r="BY57" s="87">
        <f t="shared" si="116"/>
        <v>0.29802481733335</v>
      </c>
      <c r="BZ57" s="530">
        <f t="shared" si="116"/>
        <v>0.22343399435478</v>
      </c>
      <c r="CA57" s="87">
        <f t="shared" si="116"/>
        <v>0.0502345228709648</v>
      </c>
      <c r="CB57" s="87">
        <f t="shared" si="116"/>
        <v>0.150478103798472</v>
      </c>
      <c r="CC57" s="87">
        <f t="shared" si="116"/>
        <v>0.191020255480005</v>
      </c>
      <c r="CD57" s="87">
        <f t="shared" si="116"/>
        <v>0.269265415859617</v>
      </c>
      <c r="CE57" s="530">
        <f t="shared" si="116"/>
        <v>0.192595663670977</v>
      </c>
      <c r="CF57" s="87">
        <f t="shared" si="116"/>
        <v>0.164281084254341</v>
      </c>
      <c r="CG57" s="87">
        <f t="shared" si="116"/>
        <v>0.206238996069261</v>
      </c>
      <c r="CH57" s="87">
        <f t="shared" si="116"/>
        <v>0.194477327617292</v>
      </c>
      <c r="CI57" s="87">
        <f t="shared" si="116"/>
        <v>0.278057576089198</v>
      </c>
      <c r="CJ57" s="530">
        <f t="shared" ref="CJ57:CO57" si="117">CJ55/CJ$37</f>
        <v>0.219727210407797</v>
      </c>
      <c r="CK57" s="87">
        <f t="shared" si="117"/>
        <v>0.161359138697324</v>
      </c>
      <c r="CL57" s="87">
        <f t="shared" si="117"/>
        <v>0.209293014930997</v>
      </c>
      <c r="CM57" s="87">
        <f t="shared" si="117"/>
        <v>0.189794328040071</v>
      </c>
      <c r="CN57" s="87">
        <f t="shared" si="117"/>
        <v>0.283301910140492</v>
      </c>
      <c r="CO57" s="530">
        <f t="shared" si="117"/>
        <v>0.22058628067899</v>
      </c>
      <c r="CP57" s="87">
        <f t="shared" ref="CP57:DI57" si="118">CP55/CP$37</f>
        <v>0.20062755148961</v>
      </c>
      <c r="CQ57" s="87">
        <f t="shared" si="118"/>
        <v>0.216940337186222</v>
      </c>
      <c r="CR57" s="87">
        <f t="shared" si="118"/>
        <v>0.197950021277387</v>
      </c>
      <c r="CS57" s="87">
        <f t="shared" si="118"/>
        <v>0.285135922308893</v>
      </c>
      <c r="CT57" s="530">
        <f t="shared" si="118"/>
        <v>0.231918237522608</v>
      </c>
      <c r="CU57" s="87">
        <f t="shared" si="118"/>
        <v>0.195863897313177</v>
      </c>
      <c r="CV57" s="87">
        <f t="shared" si="118"/>
        <v>0.227839826441813</v>
      </c>
      <c r="CW57" s="87">
        <f t="shared" si="118"/>
        <v>0.204726995068136</v>
      </c>
      <c r="CX57" s="87">
        <f t="shared" ref="CX57" si="119">CX55/CX$37</f>
        <v>0.2885695322466</v>
      </c>
      <c r="CY57" s="530">
        <f t="shared" si="118"/>
        <v>0.236651603881556</v>
      </c>
      <c r="CZ57" s="87">
        <f t="shared" ref="CZ57:DA57" si="120">CZ55/CZ$37</f>
        <v>0.185022314460952</v>
      </c>
      <c r="DA57" s="87">
        <f t="shared" si="120"/>
        <v>0.207433097881807</v>
      </c>
      <c r="DB57" s="87">
        <f t="shared" ref="DB57" si="121">DB55/DB$37</f>
        <v>0.16987513250608</v>
      </c>
      <c r="DC57" s="87">
        <f t="shared" si="118"/>
        <v>0.22310749749849</v>
      </c>
      <c r="DD57" s="530">
        <f t="shared" si="118"/>
        <v>0.199107866625835</v>
      </c>
      <c r="DE57" s="87">
        <f t="shared" si="118"/>
        <v>0.112051166793373</v>
      </c>
      <c r="DF57" s="87">
        <f t="shared" si="118"/>
        <v>0.187798964328575</v>
      </c>
      <c r="DG57" s="87">
        <f t="shared" si="118"/>
        <v>0.0649194992160976</v>
      </c>
      <c r="DH57" s="87">
        <f t="shared" si="118"/>
        <v>0.193149170639638</v>
      </c>
      <c r="DI57" s="530">
        <f t="shared" si="118"/>
        <v>0.144394696248356</v>
      </c>
      <c r="DJ57" s="87">
        <f t="shared" ref="DJ57:DN57" si="122">DJ55/DJ$37</f>
        <v>0.100389885866338</v>
      </c>
      <c r="DK57" s="87">
        <f t="shared" si="122"/>
        <v>0.121153370323807</v>
      </c>
      <c r="DL57" s="87">
        <f t="shared" si="122"/>
        <v>0.0561334704058113</v>
      </c>
      <c r="DM57" s="87">
        <f t="shared" si="122"/>
        <v>0.184298300262123</v>
      </c>
      <c r="DN57" s="530">
        <f t="shared" si="122"/>
        <v>0.121592530255114</v>
      </c>
      <c r="DO57" s="87">
        <f t="shared" ref="DO57:DS57" si="123">DO55/DO$37</f>
        <v>0.0943953646089264</v>
      </c>
      <c r="DP57" s="87">
        <f t="shared" si="123"/>
        <v>0.115158205054059</v>
      </c>
      <c r="DQ57" s="87">
        <f t="shared" si="123"/>
        <v>0.0501402207440357</v>
      </c>
      <c r="DR57" s="87">
        <f t="shared" si="123"/>
        <v>0.178300229914266</v>
      </c>
      <c r="DS57" s="530">
        <f t="shared" si="123"/>
        <v>0.115423813697377</v>
      </c>
    </row>
    <row r="58" spans="1:123">
      <c r="A58" s="6"/>
      <c r="B58" s="536" t="s">
        <v>73</v>
      </c>
      <c r="C58" s="74"/>
      <c r="D58" s="6"/>
      <c r="E58" s="6"/>
      <c r="F58" s="6"/>
      <c r="G58" s="6"/>
      <c r="H58" s="537">
        <f t="shared" ref="H58:AM58" si="124">(H57-C57)*100*100</f>
        <v>-601.576704200226</v>
      </c>
      <c r="I58" s="538">
        <f t="shared" si="124"/>
        <v>-293.256053038899</v>
      </c>
      <c r="J58" s="538">
        <f t="shared" si="124"/>
        <v>-1756.77310571531</v>
      </c>
      <c r="K58" s="538">
        <f t="shared" si="124"/>
        <v>-1213.35626853211</v>
      </c>
      <c r="L58" s="538">
        <f t="shared" si="124"/>
        <v>863.273279239865</v>
      </c>
      <c r="M58" s="537">
        <f t="shared" si="124"/>
        <v>-390.870424342732</v>
      </c>
      <c r="N58" s="538">
        <f t="shared" si="124"/>
        <v>-640.342229762593</v>
      </c>
      <c r="O58" s="538">
        <f t="shared" si="124"/>
        <v>669.671964042074</v>
      </c>
      <c r="P58" s="538">
        <f t="shared" si="124"/>
        <v>483.152556801932</v>
      </c>
      <c r="Q58" s="538">
        <f t="shared" si="124"/>
        <v>262.985607420578</v>
      </c>
      <c r="R58" s="537">
        <f t="shared" si="124"/>
        <v>250.135218318544</v>
      </c>
      <c r="S58" s="538">
        <f t="shared" si="124"/>
        <v>-29.5334025275149</v>
      </c>
      <c r="T58" s="538">
        <f t="shared" si="124"/>
        <v>153.459759718516</v>
      </c>
      <c r="U58" s="538">
        <f t="shared" si="124"/>
        <v>-288.50366820325</v>
      </c>
      <c r="V58" s="538">
        <f t="shared" si="124"/>
        <v>-95.2344835375082</v>
      </c>
      <c r="W58" s="537">
        <f t="shared" si="124"/>
        <v>-111.072804306226</v>
      </c>
      <c r="X58" s="538">
        <f t="shared" si="124"/>
        <v>-293.147441491447</v>
      </c>
      <c r="Y58" s="538">
        <f t="shared" si="124"/>
        <v>-351.690338822472</v>
      </c>
      <c r="Z58" s="538">
        <f t="shared" si="124"/>
        <v>353.839005798203</v>
      </c>
      <c r="AA58" s="538">
        <f t="shared" si="124"/>
        <v>624.663797738544</v>
      </c>
      <c r="AB58" s="537">
        <f t="shared" si="124"/>
        <v>201.716245600274</v>
      </c>
      <c r="AC58" s="538">
        <f t="shared" si="124"/>
        <v>1141.84196116497</v>
      </c>
      <c r="AD58" s="538">
        <f t="shared" si="124"/>
        <v>783.125972259631</v>
      </c>
      <c r="AE58" s="538">
        <f t="shared" si="124"/>
        <v>556.820001421125</v>
      </c>
      <c r="AF58" s="538">
        <f t="shared" si="124"/>
        <v>313.270966430539</v>
      </c>
      <c r="AG58" s="537">
        <f t="shared" si="124"/>
        <v>619.369496451083</v>
      </c>
      <c r="AH58" s="538">
        <f t="shared" si="124"/>
        <v>419.131491290105</v>
      </c>
      <c r="AI58" s="538">
        <f t="shared" si="124"/>
        <v>551.783170982165</v>
      </c>
      <c r="AJ58" s="538">
        <f t="shared" si="124"/>
        <v>183.662552767875</v>
      </c>
      <c r="AK58" s="538">
        <f t="shared" si="124"/>
        <v>218.720944592444</v>
      </c>
      <c r="AL58" s="537">
        <f t="shared" si="124"/>
        <v>332.539255230139</v>
      </c>
      <c r="AM58" s="538">
        <f t="shared" si="124"/>
        <v>-209.845529617932</v>
      </c>
      <c r="AN58" s="538">
        <f t="shared" ref="AN58:BL58" si="125">(AN57-AI57)*100*100</f>
        <v>-318.180483614213</v>
      </c>
      <c r="AO58" s="538">
        <f t="shared" si="125"/>
        <v>-47.4756780726443</v>
      </c>
      <c r="AP58" s="538">
        <f t="shared" si="125"/>
        <v>18.5959046536427</v>
      </c>
      <c r="AQ58" s="537">
        <f t="shared" si="125"/>
        <v>-120.16234599458</v>
      </c>
      <c r="AR58" s="538">
        <f t="shared" si="125"/>
        <v>-651.913835086771</v>
      </c>
      <c r="AS58" s="538">
        <f t="shared" si="125"/>
        <v>-190.667411917241</v>
      </c>
      <c r="AT58" s="538">
        <f t="shared" si="125"/>
        <v>-116.118962685574</v>
      </c>
      <c r="AU58" s="538">
        <f t="shared" si="125"/>
        <v>-183.992285545317</v>
      </c>
      <c r="AV58" s="537">
        <f t="shared" si="125"/>
        <v>-287.478714558868</v>
      </c>
      <c r="AW58" s="538">
        <f t="shared" si="125"/>
        <v>-90.693278630172</v>
      </c>
      <c r="AX58" s="538">
        <f t="shared" si="125"/>
        <v>-554.720234609143</v>
      </c>
      <c r="AY58" s="538">
        <f t="shared" si="125"/>
        <v>-495.465824025085</v>
      </c>
      <c r="AZ58" s="538">
        <f t="shared" si="125"/>
        <v>-349.746943490792</v>
      </c>
      <c r="BA58" s="537">
        <f t="shared" si="125"/>
        <v>-367.221561736543</v>
      </c>
      <c r="BB58" s="538">
        <f t="shared" si="125"/>
        <v>-208.463433552669</v>
      </c>
      <c r="BC58" s="538">
        <f t="shared" si="125"/>
        <v>-268.262726908809</v>
      </c>
      <c r="BD58" s="538">
        <f t="shared" si="125"/>
        <v>-513.784497542703</v>
      </c>
      <c r="BE58" s="538">
        <f t="shared" si="125"/>
        <v>-247.919639352695</v>
      </c>
      <c r="BF58" s="537">
        <f t="shared" si="125"/>
        <v>-301.135500497142</v>
      </c>
      <c r="BG58" s="538">
        <f t="shared" si="125"/>
        <v>-444.14759249978</v>
      </c>
      <c r="BH58" s="538">
        <f t="shared" si="125"/>
        <v>-32.2658212394908</v>
      </c>
      <c r="BI58" s="538">
        <f t="shared" si="125"/>
        <v>286.509275542365</v>
      </c>
      <c r="BJ58" s="538">
        <f t="shared" si="125"/>
        <v>128.114940583695</v>
      </c>
      <c r="BK58" s="537">
        <f t="shared" si="125"/>
        <v>5.24680592076859</v>
      </c>
      <c r="BL58" s="538">
        <f t="shared" si="125"/>
        <v>51.9459367642099</v>
      </c>
      <c r="BM58" s="538">
        <f t="shared" ref="BM58:CL58" si="126">(BM57-BH57)*100*100</f>
        <v>-161.445274166221</v>
      </c>
      <c r="BN58" s="538">
        <f t="shared" si="126"/>
        <v>33.4519253523802</v>
      </c>
      <c r="BO58" s="538">
        <f t="shared" si="126"/>
        <v>290.072314202182</v>
      </c>
      <c r="BP58" s="537">
        <f t="shared" si="126"/>
        <v>103.122433886869</v>
      </c>
      <c r="BQ58" s="538">
        <f t="shared" si="126"/>
        <v>391.269880828102</v>
      </c>
      <c r="BR58" s="538">
        <f t="shared" si="126"/>
        <v>578.991162710109</v>
      </c>
      <c r="BS58" s="538">
        <f t="shared" si="126"/>
        <v>76.4781847395657</v>
      </c>
      <c r="BT58" s="538">
        <f t="shared" si="126"/>
        <v>59.5812797472156</v>
      </c>
      <c r="BU58" s="537">
        <f t="shared" si="126"/>
        <v>246.949353564916</v>
      </c>
      <c r="BV58" s="538">
        <f t="shared" si="126"/>
        <v>41.1305735629985</v>
      </c>
      <c r="BW58" s="538">
        <f t="shared" si="126"/>
        <v>46.6601103331385</v>
      </c>
      <c r="BX58" s="538">
        <f t="shared" si="126"/>
        <v>101.518009115342</v>
      </c>
      <c r="BY58" s="538">
        <f t="shared" si="126"/>
        <v>141.430845429622</v>
      </c>
      <c r="BZ58" s="537">
        <f t="shared" si="126"/>
        <v>87.8450323180827</v>
      </c>
      <c r="CA58" s="538">
        <f t="shared" si="126"/>
        <v>-1144.20379566033</v>
      </c>
      <c r="CB58" s="538">
        <f t="shared" si="126"/>
        <v>-396.861795223331</v>
      </c>
      <c r="CC58" s="538">
        <f t="shared" si="126"/>
        <v>-9.03886952685368</v>
      </c>
      <c r="CD58" s="538">
        <f t="shared" si="126"/>
        <v>-287.59401473733</v>
      </c>
      <c r="CE58" s="537">
        <f t="shared" si="126"/>
        <v>-308.383306838033</v>
      </c>
      <c r="CF58" s="538">
        <f t="shared" si="126"/>
        <v>1140.46561383376</v>
      </c>
      <c r="CG58" s="538">
        <f t="shared" si="126"/>
        <v>557.608922707893</v>
      </c>
      <c r="CH58" s="538">
        <f t="shared" si="126"/>
        <v>34.5707213728691</v>
      </c>
      <c r="CI58" s="538">
        <f t="shared" si="126"/>
        <v>87.9216022958107</v>
      </c>
      <c r="CJ58" s="537">
        <f t="shared" ref="CJ58:CR58" si="127">(CJ57-CE57)*100*100</f>
        <v>271.315467368201</v>
      </c>
      <c r="CK58" s="546">
        <f t="shared" si="126"/>
        <v>-29.2194555701705</v>
      </c>
      <c r="CL58" s="546">
        <f t="shared" si="126"/>
        <v>30.540188617357</v>
      </c>
      <c r="CM58" s="546">
        <f t="shared" si="127"/>
        <v>-46.8299957722054</v>
      </c>
      <c r="CN58" s="546">
        <f t="shared" si="127"/>
        <v>52.4433405129393</v>
      </c>
      <c r="CO58" s="541">
        <f t="shared" si="127"/>
        <v>8.59070271192863</v>
      </c>
      <c r="CP58" s="546">
        <f t="shared" si="127"/>
        <v>392.684127922864</v>
      </c>
      <c r="CQ58" s="546">
        <f t="shared" si="127"/>
        <v>76.4732225522474</v>
      </c>
      <c r="CR58" s="546">
        <f t="shared" si="127"/>
        <v>81.5569323731596</v>
      </c>
      <c r="CS58" s="546">
        <f t="shared" ref="CS58:DI58" si="128">(CS57-CN57)*100*100</f>
        <v>18.340121684014</v>
      </c>
      <c r="CT58" s="541">
        <f t="shared" si="128"/>
        <v>113.319568436182</v>
      </c>
      <c r="CU58" s="546">
        <f t="shared" si="128"/>
        <v>-47.6365417643335</v>
      </c>
      <c r="CV58" s="546">
        <f t="shared" si="128"/>
        <v>108.994892555906</v>
      </c>
      <c r="CW58" s="546">
        <f t="shared" si="128"/>
        <v>67.7697379074918</v>
      </c>
      <c r="CX58" s="546">
        <f t="shared" si="128"/>
        <v>34.3360993770719</v>
      </c>
      <c r="CY58" s="541">
        <f t="shared" si="128"/>
        <v>47.3336635894742</v>
      </c>
      <c r="CZ58" s="546">
        <f t="shared" si="128"/>
        <v>-108.41582852225</v>
      </c>
      <c r="DA58" s="546">
        <f t="shared" si="128"/>
        <v>-204.067285600051</v>
      </c>
      <c r="DB58" s="546">
        <f t="shared" si="128"/>
        <v>-348.518625620567</v>
      </c>
      <c r="DC58" s="546">
        <f t="shared" si="128"/>
        <v>-654.620347481102</v>
      </c>
      <c r="DD58" s="541">
        <f t="shared" si="128"/>
        <v>-375.437372557201</v>
      </c>
      <c r="DE58" s="546">
        <f t="shared" si="128"/>
        <v>-729.711476675792</v>
      </c>
      <c r="DF58" s="546">
        <f t="shared" si="128"/>
        <v>-196.341335532325</v>
      </c>
      <c r="DG58" s="546">
        <f t="shared" si="128"/>
        <v>-1049.55633289982</v>
      </c>
      <c r="DH58" s="546">
        <f t="shared" si="128"/>
        <v>-299.583268588522</v>
      </c>
      <c r="DI58" s="541">
        <f t="shared" si="128"/>
        <v>-547.131703774796</v>
      </c>
      <c r="DJ58" s="546">
        <f t="shared" ref="DJ58" si="129">(DJ57-DE57)*100*100</f>
        <v>-116.612809270349</v>
      </c>
      <c r="DK58" s="546">
        <f t="shared" ref="DK58" si="130">(DK57-DF57)*100*100</f>
        <v>-666.455940047675</v>
      </c>
      <c r="DL58" s="546">
        <f t="shared" ref="DL58" si="131">(DL57-DG57)*100*100</f>
        <v>-87.8602881028633</v>
      </c>
      <c r="DM58" s="546">
        <f t="shared" ref="DM58" si="132">(DM57-DH57)*100*100</f>
        <v>-88.5087037751467</v>
      </c>
      <c r="DN58" s="541">
        <f t="shared" ref="DN58" si="133">(DN57-DI57)*100*100</f>
        <v>-228.021659932419</v>
      </c>
      <c r="DO58" s="546">
        <f t="shared" ref="DO58" si="134">(DO57-DJ57)*100*100</f>
        <v>-59.9452125741123</v>
      </c>
      <c r="DP58" s="546">
        <f t="shared" ref="DP58" si="135">(DP57-DK57)*100*100</f>
        <v>-59.9516526974811</v>
      </c>
      <c r="DQ58" s="546">
        <f t="shared" ref="DQ58" si="136">(DQ57-DL57)*100*100</f>
        <v>-59.9324966177559</v>
      </c>
      <c r="DR58" s="546">
        <f t="shared" ref="DR58" si="137">(DR57-DM57)*100*100</f>
        <v>-59.9807034785685</v>
      </c>
      <c r="DS58" s="541">
        <f t="shared" ref="DS58" si="138">(DS57-DN57)*100*100</f>
        <v>-61.6871655773682</v>
      </c>
    </row>
    <row r="59" s="86" customFormat="1" spans="1:123">
      <c r="A59" s="169"/>
      <c r="B59" s="551"/>
      <c r="C59" s="170"/>
      <c r="D59" s="169"/>
      <c r="E59" s="169"/>
      <c r="F59" s="169"/>
      <c r="G59" s="169"/>
      <c r="H59" s="170"/>
      <c r="I59" s="169"/>
      <c r="J59" s="169"/>
      <c r="K59" s="169"/>
      <c r="L59" s="169"/>
      <c r="M59" s="170"/>
      <c r="N59" s="169"/>
      <c r="O59" s="169"/>
      <c r="P59" s="169"/>
      <c r="Q59" s="169"/>
      <c r="R59" s="170"/>
      <c r="S59" s="169"/>
      <c r="T59" s="169"/>
      <c r="U59" s="169"/>
      <c r="V59" s="169"/>
      <c r="W59" s="170"/>
      <c r="X59" s="169"/>
      <c r="Y59" s="169"/>
      <c r="Z59" s="169"/>
      <c r="AA59" s="169"/>
      <c r="AB59" s="170"/>
      <c r="AC59" s="169"/>
      <c r="AD59" s="169"/>
      <c r="AE59" s="169"/>
      <c r="AF59" s="169"/>
      <c r="AG59" s="170"/>
      <c r="AH59" s="169"/>
      <c r="AI59" s="169"/>
      <c r="AJ59" s="169"/>
      <c r="AK59" s="169"/>
      <c r="AL59" s="170"/>
      <c r="AM59" s="169"/>
      <c r="AN59" s="169"/>
      <c r="AO59" s="169"/>
      <c r="AP59" s="169"/>
      <c r="AQ59" s="170"/>
      <c r="AR59" s="169"/>
      <c r="AS59" s="169"/>
      <c r="AT59" s="169"/>
      <c r="AU59" s="169"/>
      <c r="AV59" s="170"/>
      <c r="AW59" s="169"/>
      <c r="AX59" s="169"/>
      <c r="AY59" s="169"/>
      <c r="AZ59" s="169"/>
      <c r="BA59" s="170"/>
      <c r="BB59" s="169"/>
      <c r="BC59" s="169"/>
      <c r="BD59" s="169"/>
      <c r="BE59" s="169"/>
      <c r="BF59" s="170"/>
      <c r="BG59" s="169"/>
      <c r="BH59" s="169"/>
      <c r="BI59" s="169"/>
      <c r="BJ59" s="169"/>
      <c r="BK59" s="170"/>
      <c r="BL59" s="169"/>
      <c r="BM59" s="169"/>
      <c r="BN59" s="169"/>
      <c r="BO59" s="169"/>
      <c r="BP59" s="170"/>
      <c r="BQ59" s="169"/>
      <c r="BR59" s="169"/>
      <c r="BS59" s="169"/>
      <c r="BT59" s="169"/>
      <c r="BU59" s="170"/>
      <c r="BV59" s="169"/>
      <c r="BW59" s="169"/>
      <c r="BX59" s="169"/>
      <c r="BY59" s="169"/>
      <c r="BZ59" s="170"/>
      <c r="CA59" s="169"/>
      <c r="CB59" s="169"/>
      <c r="CC59" s="169"/>
      <c r="CD59" s="169"/>
      <c r="CE59" s="170"/>
      <c r="CF59" s="169"/>
      <c r="CG59" s="552"/>
      <c r="CH59" s="169"/>
      <c r="CI59" s="169"/>
      <c r="CJ59" s="170"/>
      <c r="CK59" s="171"/>
      <c r="CL59" s="171"/>
      <c r="CM59" s="171"/>
      <c r="CN59" s="171"/>
      <c r="CO59" s="553"/>
      <c r="CP59" s="171"/>
      <c r="CQ59" s="171"/>
      <c r="CR59" s="171"/>
      <c r="CS59" s="171"/>
      <c r="CT59" s="553"/>
      <c r="CU59" s="171"/>
      <c r="CV59" s="171"/>
      <c r="CW59" s="171"/>
      <c r="CX59" s="171"/>
      <c r="CY59" s="553"/>
      <c r="CZ59" s="171"/>
      <c r="DA59" s="171"/>
      <c r="DB59" s="171"/>
      <c r="DC59" s="171"/>
      <c r="DD59" s="553"/>
      <c r="DE59" s="171"/>
      <c r="DF59" s="171"/>
      <c r="DG59" s="171"/>
      <c r="DH59" s="171"/>
      <c r="DI59" s="553"/>
      <c r="DJ59" s="171"/>
      <c r="DK59" s="171"/>
      <c r="DL59" s="171"/>
      <c r="DM59" s="171"/>
      <c r="DN59" s="553"/>
      <c r="DO59" s="171"/>
      <c r="DP59" s="171"/>
      <c r="DQ59" s="171"/>
      <c r="DR59" s="171"/>
      <c r="DS59" s="553"/>
    </row>
    <row r="60" spans="1:123">
      <c r="B60" s="198" t="s">
        <v>77</v>
      </c>
      <c r="C60" s="124">
        <f>0.01-0.046</f>
        <v>-0.036</v>
      </c>
      <c r="H60" s="124">
        <f>0.057729999999985-0.052</f>
        <v>0.005729999999985</v>
      </c>
      <c r="M60" s="124">
        <f>0.141071-0.046683+0.111865</f>
        <v>0.206253</v>
      </c>
      <c r="R60" s="124">
        <f>0.854088+0.334220000000007</f>
        <v>1.18830800000001</v>
      </c>
      <c r="W60" s="124">
        <f>1.019322-1.138365</f>
        <v>-0.119043</v>
      </c>
      <c r="AB60" s="124">
        <v>0.164</v>
      </c>
      <c r="AG60" s="124">
        <v>2.886</v>
      </c>
      <c r="AH60" s="125">
        <v>0.904</v>
      </c>
      <c r="AI60" s="125">
        <v>0.597</v>
      </c>
      <c r="AJ60" s="125">
        <v>0.619</v>
      </c>
      <c r="AK60" s="125">
        <v>0.38</v>
      </c>
      <c r="AL60" s="124">
        <f>SUM(AH60:AK60)</f>
        <v>2.5</v>
      </c>
      <c r="AM60" s="125">
        <v>0.91</v>
      </c>
      <c r="AN60" s="125">
        <v>1.166</v>
      </c>
      <c r="AO60" s="125">
        <v>1.424</v>
      </c>
      <c r="AP60" s="125">
        <v>1.457</v>
      </c>
      <c r="AQ60" s="124">
        <f>SUM(AM60:AP60)</f>
        <v>4.957</v>
      </c>
      <c r="AR60" s="125">
        <v>1.501</v>
      </c>
      <c r="AS60" s="125">
        <v>1.295</v>
      </c>
      <c r="AT60" s="125">
        <v>1.453</v>
      </c>
      <c r="AU60" s="125">
        <v>1.519</v>
      </c>
      <c r="AV60" s="124">
        <f>SUM(AR60:AU60)</f>
        <v>5.768</v>
      </c>
      <c r="AW60" s="125">
        <v>1.643</v>
      </c>
      <c r="AX60" s="125">
        <v>1.89</v>
      </c>
      <c r="AY60" s="125">
        <v>1.814</v>
      </c>
      <c r="AZ60" s="125">
        <v>1.755</v>
      </c>
      <c r="BA60" s="124">
        <f>SUM(AW60:AZ60)</f>
        <v>7.102</v>
      </c>
      <c r="BB60" s="125">
        <v>0.529</v>
      </c>
      <c r="BC60" s="125">
        <v>0.842</v>
      </c>
      <c r="BD60" s="125">
        <f>-2.89+3.606</f>
        <v>0.716</v>
      </c>
      <c r="BE60" s="125">
        <v>0.938</v>
      </c>
      <c r="BF60" s="124">
        <f>SUM(BB60:BE60)</f>
        <v>3.025</v>
      </c>
      <c r="BG60" s="125">
        <f>-0.486+1.2</f>
        <v>0.714</v>
      </c>
      <c r="BH60" s="125">
        <f>0.578+0.3</f>
        <v>0.878</v>
      </c>
      <c r="BI60" s="125">
        <f>0.628+0.2</f>
        <v>0.828</v>
      </c>
      <c r="BJ60" s="125">
        <v>0.857</v>
      </c>
      <c r="BK60" s="124">
        <f>SUM(BG60:BJ60)</f>
        <v>3.277</v>
      </c>
      <c r="BL60" s="125">
        <v>0.907</v>
      </c>
      <c r="BM60" s="125">
        <v>0.812</v>
      </c>
      <c r="BN60" s="125">
        <v>1.052</v>
      </c>
      <c r="BO60" s="172">
        <v>1.226</v>
      </c>
      <c r="BP60" s="124">
        <f>SUM(BL60:BO60)</f>
        <v>3.997</v>
      </c>
      <c r="BQ60" s="172">
        <v>2.918</v>
      </c>
      <c r="BR60" s="172">
        <v>1.591</v>
      </c>
      <c r="BS60" s="172">
        <v>2.044</v>
      </c>
      <c r="BT60" s="172">
        <v>2.861</v>
      </c>
      <c r="BU60" s="124">
        <f>SUM(BQ60:BT60)</f>
        <v>9.414</v>
      </c>
      <c r="BV60" s="172">
        <v>2.379</v>
      </c>
      <c r="BW60" s="172">
        <v>1.85</v>
      </c>
      <c r="BX60" s="172">
        <v>1.925</v>
      </c>
      <c r="BY60" s="172">
        <v>2.129</v>
      </c>
      <c r="BZ60" s="173">
        <f>SUM(BV60:BY60)</f>
        <v>8.283</v>
      </c>
      <c r="CA60" s="172">
        <v>1.174</v>
      </c>
      <c r="CB60" s="172">
        <v>-0.344</v>
      </c>
      <c r="CC60" s="172">
        <v>-0.58</v>
      </c>
      <c r="CD60" s="172">
        <v>-0.886</v>
      </c>
      <c r="CE60" s="173">
        <f>SUM(CA60:CD60)</f>
        <v>-0.636</v>
      </c>
      <c r="CF60" s="172">
        <v>0.227</v>
      </c>
      <c r="CG60" s="172">
        <v>0.096</v>
      </c>
      <c r="CH60" s="172">
        <v>0.015</v>
      </c>
      <c r="CI60" s="172">
        <v>0.176</v>
      </c>
      <c r="CJ60" s="124">
        <f>SUM(CF60:CI60)</f>
        <v>0.514</v>
      </c>
      <c r="CK60" s="128">
        <v>-0.022</v>
      </c>
      <c r="CL60" s="128">
        <v>0.145</v>
      </c>
      <c r="CM60" s="128">
        <v>0.331</v>
      </c>
      <c r="CN60" s="128">
        <v>3.709</v>
      </c>
      <c r="CO60" s="127">
        <f>SUM(CK60:CN60)</f>
        <v>4.163</v>
      </c>
      <c r="CP60" s="128">
        <v>8.025</v>
      </c>
      <c r="CQ60" s="128">
        <v>7.362</v>
      </c>
      <c r="CR60" s="128">
        <v>9.842</v>
      </c>
      <c r="CS60" s="128">
        <v>17.83</v>
      </c>
      <c r="CT60" s="127">
        <f>SUM(CP60:CS60)</f>
        <v>43.059</v>
      </c>
      <c r="CU60" s="128">
        <v>23.283</v>
      </c>
      <c r="CV60" s="128">
        <v>17.994</v>
      </c>
      <c r="CW60" s="128">
        <v>13.743</v>
      </c>
      <c r="CX60" s="128">
        <v>15.36</v>
      </c>
      <c r="CY60" s="127">
        <f>SUM(CU60:CX60)</f>
        <v>70.38</v>
      </c>
      <c r="CZ60" s="128">
        <v>11.786</v>
      </c>
      <c r="DA60" s="128">
        <v>9.737</v>
      </c>
      <c r="DB60" s="128">
        <v>5.854</v>
      </c>
      <c r="DC60" s="128">
        <v>0.975</v>
      </c>
      <c r="DD60" s="127">
        <f>SUM(CZ60:DC60)</f>
        <v>28.352</v>
      </c>
      <c r="DE60" s="128">
        <v>9.131</v>
      </c>
      <c r="DF60" s="128">
        <f>13.698</f>
        <v>13.698</v>
      </c>
      <c r="DG60" s="548">
        <f>DG315</f>
        <v>4.86223121669337</v>
      </c>
      <c r="DH60" s="548">
        <f>DH315</f>
        <v>4.46823437149828</v>
      </c>
      <c r="DI60" s="127">
        <f>SUM(DE60:DH60)</f>
        <v>32.1594655881916</v>
      </c>
      <c r="DJ60" s="548">
        <f>DJ315</f>
        <v>5.59025758090868</v>
      </c>
      <c r="DK60" s="548">
        <f>DK315</f>
        <v>5.88954380476367</v>
      </c>
      <c r="DL60" s="548">
        <f>DL315</f>
        <v>4.82318900830819</v>
      </c>
      <c r="DM60" s="548">
        <f>DM315</f>
        <v>5.01430337394889</v>
      </c>
      <c r="DN60" s="127">
        <f>SUM(DJ60:DM60)</f>
        <v>21.3172937679294</v>
      </c>
      <c r="DO60" s="548">
        <f>DO315</f>
        <v>6.54101243940314</v>
      </c>
      <c r="DP60" s="548">
        <f>DP315</f>
        <v>6.87356927501791</v>
      </c>
      <c r="DQ60" s="548">
        <f>DQ315</f>
        <v>5.85162120108208</v>
      </c>
      <c r="DR60" s="548">
        <f>DR315</f>
        <v>6.00286785144691</v>
      </c>
      <c r="DS60" s="127">
        <f>SUM(DO60:DR60)</f>
        <v>25.26907076695</v>
      </c>
    </row>
    <row r="61" s="3" customFormat="1" spans="1:123">
      <c r="A61" s="132"/>
      <c r="B61" s="227" t="s">
        <v>78</v>
      </c>
      <c r="C61" s="131">
        <f>C55+C60</f>
        <v>10.424</v>
      </c>
      <c r="D61" s="132"/>
      <c r="E61" s="132"/>
      <c r="F61" s="132"/>
      <c r="G61" s="132"/>
      <c r="H61" s="131">
        <f>H55+H60</f>
        <v>16.540104</v>
      </c>
      <c r="I61" s="132"/>
      <c r="J61" s="132"/>
      <c r="K61" s="132"/>
      <c r="L61" s="132"/>
      <c r="M61" s="131">
        <f>M55+M60</f>
        <v>23.647977</v>
      </c>
      <c r="N61" s="132"/>
      <c r="O61" s="132"/>
      <c r="P61" s="132"/>
      <c r="Q61" s="132"/>
      <c r="R61" s="131">
        <f>R55+R60</f>
        <v>51.3131129999999</v>
      </c>
      <c r="S61" s="132"/>
      <c r="T61" s="132"/>
      <c r="U61" s="132"/>
      <c r="V61" s="132"/>
      <c r="W61" s="131">
        <f>W55+W60</f>
        <v>60.646822</v>
      </c>
      <c r="X61" s="132"/>
      <c r="Y61" s="132"/>
      <c r="Z61" s="132"/>
      <c r="AA61" s="132"/>
      <c r="AB61" s="131">
        <f>AB55+AB60</f>
        <v>86.906</v>
      </c>
      <c r="AC61" s="132"/>
      <c r="AD61" s="132"/>
      <c r="AE61" s="132"/>
      <c r="AF61" s="132"/>
      <c r="AG61" s="131">
        <v>183.277</v>
      </c>
      <c r="AH61" s="132">
        <f t="shared" ref="AH61:CS61" si="139">AH55+AH60</f>
        <v>52.591</v>
      </c>
      <c r="AI61" s="132">
        <f t="shared" si="139"/>
        <v>60.08</v>
      </c>
      <c r="AJ61" s="132">
        <f t="shared" si="139"/>
        <v>60.34</v>
      </c>
      <c r="AK61" s="132">
        <f t="shared" si="139"/>
        <v>116.447</v>
      </c>
      <c r="AL61" s="131">
        <f t="shared" si="139"/>
        <v>289.458</v>
      </c>
      <c r="AM61" s="132">
        <f t="shared" si="139"/>
        <v>73.975</v>
      </c>
      <c r="AN61" s="132">
        <f t="shared" si="139"/>
        <v>71.354</v>
      </c>
      <c r="AO61" s="132">
        <f t="shared" si="139"/>
        <v>82.0350000000001</v>
      </c>
      <c r="AP61" s="132">
        <f t="shared" si="139"/>
        <v>154.032</v>
      </c>
      <c r="AQ61" s="131">
        <f t="shared" si="139"/>
        <v>381.396</v>
      </c>
      <c r="AR61" s="132">
        <f t="shared" si="139"/>
        <v>67.3900000000001</v>
      </c>
      <c r="AS61" s="132">
        <f t="shared" si="139"/>
        <v>80.281</v>
      </c>
      <c r="AT61" s="132">
        <f t="shared" si="139"/>
        <v>93.789</v>
      </c>
      <c r="AU61" s="132">
        <f t="shared" si="139"/>
        <v>155.666</v>
      </c>
      <c r="AV61" s="131">
        <f t="shared" si="139"/>
        <v>397.126</v>
      </c>
      <c r="AW61" s="132">
        <f t="shared" si="139"/>
        <v>71.444</v>
      </c>
      <c r="AX61" s="132">
        <f t="shared" si="139"/>
        <v>69.797</v>
      </c>
      <c r="AY61" s="132">
        <f t="shared" si="139"/>
        <v>82.97</v>
      </c>
      <c r="AZ61" s="132">
        <f t="shared" si="139"/>
        <v>158.943</v>
      </c>
      <c r="BA61" s="131">
        <f t="shared" si="139"/>
        <v>383.135</v>
      </c>
      <c r="BB61" s="132">
        <f t="shared" si="139"/>
        <v>68.565</v>
      </c>
      <c r="BC61" s="132">
        <f t="shared" si="139"/>
        <v>67.421</v>
      </c>
      <c r="BD61" s="132">
        <f t="shared" si="139"/>
        <v>68.894</v>
      </c>
      <c r="BE61" s="132">
        <f t="shared" si="139"/>
        <v>167.221</v>
      </c>
      <c r="BF61" s="131">
        <f t="shared" si="139"/>
        <v>372.101</v>
      </c>
      <c r="BG61" s="132">
        <f t="shared" si="139"/>
        <v>58.303</v>
      </c>
      <c r="BH61" s="132">
        <f t="shared" si="139"/>
        <v>74.837</v>
      </c>
      <c r="BI61" s="132">
        <f t="shared" si="139"/>
        <v>93.8030000000001</v>
      </c>
      <c r="BJ61" s="132">
        <f t="shared" si="139"/>
        <v>197.486</v>
      </c>
      <c r="BK61" s="131">
        <f t="shared" si="139"/>
        <v>424.429</v>
      </c>
      <c r="BL61" s="132">
        <f t="shared" si="139"/>
        <v>64.08</v>
      </c>
      <c r="BM61" s="132">
        <f t="shared" si="139"/>
        <v>74.9540000000001</v>
      </c>
      <c r="BN61" s="132">
        <f t="shared" si="139"/>
        <v>108.841</v>
      </c>
      <c r="BO61" s="132">
        <f t="shared" si="139"/>
        <v>259.362</v>
      </c>
      <c r="BP61" s="131">
        <f t="shared" si="139"/>
        <v>507.221</v>
      </c>
      <c r="BQ61" s="132">
        <f t="shared" si="139"/>
        <v>107.223</v>
      </c>
      <c r="BR61" s="132">
        <f t="shared" si="139"/>
        <v>135.799</v>
      </c>
      <c r="BS61" s="177">
        <f t="shared" si="139"/>
        <v>137.947</v>
      </c>
      <c r="BT61" s="132">
        <f t="shared" si="139"/>
        <v>334.281</v>
      </c>
      <c r="BU61" s="131">
        <f t="shared" si="139"/>
        <v>715.25</v>
      </c>
      <c r="BV61" s="132">
        <f t="shared" si="139"/>
        <v>131.191</v>
      </c>
      <c r="BW61" s="177">
        <f t="shared" si="139"/>
        <v>169.832</v>
      </c>
      <c r="BX61" s="132">
        <f t="shared" si="139"/>
        <v>177.754</v>
      </c>
      <c r="BY61" s="132">
        <f t="shared" si="139"/>
        <v>418.616</v>
      </c>
      <c r="BZ61" s="131">
        <f t="shared" si="139"/>
        <v>897.393</v>
      </c>
      <c r="CA61" s="132">
        <f t="shared" si="139"/>
        <v>33.925</v>
      </c>
      <c r="CB61" s="132">
        <f t="shared" si="139"/>
        <v>135.529</v>
      </c>
      <c r="CC61" s="132">
        <f t="shared" si="139"/>
        <v>212.871</v>
      </c>
      <c r="CD61" s="132">
        <f t="shared" si="139"/>
        <v>464.822</v>
      </c>
      <c r="CE61" s="131">
        <f t="shared" si="139"/>
        <v>847.147</v>
      </c>
      <c r="CF61" s="132">
        <f t="shared" si="139"/>
        <v>201.712</v>
      </c>
      <c r="CG61" s="132">
        <f t="shared" si="139"/>
        <v>299.27</v>
      </c>
      <c r="CH61" s="132">
        <f t="shared" si="139"/>
        <v>282.089</v>
      </c>
      <c r="CI61" s="132">
        <f t="shared" si="139"/>
        <v>592.192</v>
      </c>
      <c r="CJ61" s="131">
        <f t="shared" si="139"/>
        <v>1375.263</v>
      </c>
      <c r="CK61" s="133">
        <f t="shared" si="139"/>
        <v>260.325</v>
      </c>
      <c r="CL61" s="133">
        <f t="shared" si="139"/>
        <v>391.173</v>
      </c>
      <c r="CM61" s="133">
        <f t="shared" si="139"/>
        <v>352.758</v>
      </c>
      <c r="CN61" s="133">
        <f t="shared" si="139"/>
        <v>788.976</v>
      </c>
      <c r="CO61" s="134">
        <f t="shared" si="139"/>
        <v>1793.232</v>
      </c>
      <c r="CP61" s="133">
        <f t="shared" si="139"/>
        <v>409.439</v>
      </c>
      <c r="CQ61" s="133">
        <f t="shared" si="139"/>
        <v>486.619</v>
      </c>
      <c r="CR61" s="133">
        <f t="shared" si="139"/>
        <v>446.167</v>
      </c>
      <c r="CS61" s="133">
        <f t="shared" si="139"/>
        <v>931.72</v>
      </c>
      <c r="CT61" s="134">
        <f t="shared" ref="CT61:DS61" si="140">CT55+CT60</f>
        <v>2273.945</v>
      </c>
      <c r="CU61" s="133">
        <f t="shared" si="140"/>
        <v>455.925</v>
      </c>
      <c r="CV61" s="133">
        <f t="shared" si="140"/>
        <v>558.22</v>
      </c>
      <c r="CW61" s="133">
        <f t="shared" si="140"/>
        <v>504.404</v>
      </c>
      <c r="CX61" s="133">
        <f t="shared" si="140"/>
        <v>1057.528</v>
      </c>
      <c r="CY61" s="134">
        <f t="shared" si="140"/>
        <v>2576.077</v>
      </c>
      <c r="CZ61" s="133">
        <f t="shared" si="140"/>
        <v>450.411</v>
      </c>
      <c r="DA61" s="133">
        <f t="shared" si="140"/>
        <v>533.551</v>
      </c>
      <c r="DB61" s="133">
        <f t="shared" si="140"/>
        <v>441.74</v>
      </c>
      <c r="DC61" s="133">
        <f t="shared" si="140"/>
        <v>813.265</v>
      </c>
      <c r="DD61" s="134">
        <f t="shared" si="140"/>
        <v>2238.967</v>
      </c>
      <c r="DE61" s="133">
        <f t="shared" si="140"/>
        <v>286.077</v>
      </c>
      <c r="DF61" s="133">
        <f t="shared" si="140"/>
        <v>467.351</v>
      </c>
      <c r="DG61" s="133">
        <f t="shared" si="140"/>
        <v>155.189261644207</v>
      </c>
      <c r="DH61" s="133">
        <f t="shared" si="140"/>
        <v>634.864114707731</v>
      </c>
      <c r="DI61" s="134">
        <f t="shared" si="140"/>
        <v>1543.48137635194</v>
      </c>
      <c r="DJ61" s="133">
        <f t="shared" si="140"/>
        <v>242.616417071137</v>
      </c>
      <c r="DK61" s="133">
        <f t="shared" si="140"/>
        <v>288.140309829865</v>
      </c>
      <c r="DL61" s="133">
        <f t="shared" si="140"/>
        <v>134.219181941918</v>
      </c>
      <c r="DM61" s="133">
        <f t="shared" si="140"/>
        <v>598.643013841712</v>
      </c>
      <c r="DN61" s="134">
        <f t="shared" si="140"/>
        <v>1263.61892268463</v>
      </c>
      <c r="DO61" s="133">
        <f t="shared" si="140"/>
        <v>232.334549694811</v>
      </c>
      <c r="DP61" s="133">
        <f t="shared" si="140"/>
        <v>278.213639106403</v>
      </c>
      <c r="DQ61" s="133">
        <f t="shared" si="140"/>
        <v>123.259207448148</v>
      </c>
      <c r="DR61" s="133">
        <f t="shared" si="140"/>
        <v>583.903580397913</v>
      </c>
      <c r="DS61" s="134">
        <f t="shared" si="140"/>
        <v>1217.71097664728</v>
      </c>
    </row>
    <row r="62" spans="1:123">
      <c r="B62" s="198" t="s">
        <v>79</v>
      </c>
      <c r="C62" s="124">
        <v>-0.999312</v>
      </c>
      <c r="H62" s="124">
        <v>-1.220217</v>
      </c>
      <c r="M62" s="124">
        <f>-12.633186</f>
        <v>-12.633186</v>
      </c>
      <c r="R62" s="124">
        <v>-20.470674</v>
      </c>
      <c r="W62" s="124">
        <v>-18.525128</v>
      </c>
      <c r="AB62" s="124">
        <v>-28.490544</v>
      </c>
      <c r="AG62" s="124">
        <v>-61.08</v>
      </c>
      <c r="AH62" s="125">
        <v>-19.075</v>
      </c>
      <c r="AI62" s="125">
        <v>-21.462</v>
      </c>
      <c r="AJ62" s="125">
        <v>-21.399</v>
      </c>
      <c r="AK62" s="125">
        <v>-42.558</v>
      </c>
      <c r="AL62" s="124">
        <f>SUM(AH62:AK62)</f>
        <v>-104.494</v>
      </c>
      <c r="AM62" s="125">
        <v>-27.001</v>
      </c>
      <c r="AN62" s="125">
        <v>-13.652</v>
      </c>
      <c r="AO62" s="125">
        <v>-24.655</v>
      </c>
      <c r="AP62" s="125">
        <v>-44.657</v>
      </c>
      <c r="AQ62" s="124">
        <f>SUM(AM62:AP62)</f>
        <v>-109.965</v>
      </c>
      <c r="AR62" s="125">
        <v>-20.111</v>
      </c>
      <c r="AS62" s="125">
        <v>-23.816</v>
      </c>
      <c r="AT62" s="125">
        <v>-27.678</v>
      </c>
      <c r="AU62" s="125">
        <v>-45.974</v>
      </c>
      <c r="AV62" s="124">
        <f>SUM(AR62:AU62)</f>
        <v>-117.579</v>
      </c>
      <c r="AW62" s="125">
        <f>-52.463+33.7</f>
        <v>-18.763</v>
      </c>
      <c r="AX62" s="125">
        <f>-21.03</f>
        <v>-21.03</v>
      </c>
      <c r="AY62" s="125">
        <v>-22.519</v>
      </c>
      <c r="AZ62" s="125">
        <v>-48.09</v>
      </c>
      <c r="BA62" s="124">
        <f>SUM(AW62:AZ62)</f>
        <v>-110.402</v>
      </c>
      <c r="BB62" s="125">
        <v>-20.755</v>
      </c>
      <c r="BC62" s="125">
        <v>-19.753</v>
      </c>
      <c r="BD62" s="125">
        <f>-12.135-7.713</f>
        <v>-19.848</v>
      </c>
      <c r="BE62" s="125">
        <f>-49.805</f>
        <v>-49.805</v>
      </c>
      <c r="BF62" s="124">
        <f>SUM(BB62:BE62)</f>
        <v>-110.161</v>
      </c>
      <c r="BG62" s="125">
        <f>-11.767-5.6</f>
        <v>-17.367</v>
      </c>
      <c r="BH62" s="125">
        <f>-20.912-1.9</f>
        <v>-22.812</v>
      </c>
      <c r="BI62" s="125">
        <f>-25.318-4</f>
        <v>-29.318</v>
      </c>
      <c r="BJ62" s="125">
        <f>BJ61*-0.306</f>
        <v>-60.4307159999999</v>
      </c>
      <c r="BK62" s="124">
        <f>SUM(BG62:BJ62)</f>
        <v>-129.927716</v>
      </c>
      <c r="BL62" s="125">
        <f>-15.084-4.684</f>
        <v>-19.768</v>
      </c>
      <c r="BM62" s="125">
        <f>-20.813-1.39</f>
        <v>-22.203</v>
      </c>
      <c r="BN62" s="125">
        <f>-27.696-5.813</f>
        <v>-33.509</v>
      </c>
      <c r="BO62" s="125">
        <f>-137.743-0.855+59.294</f>
        <v>-79.304</v>
      </c>
      <c r="BP62" s="124">
        <f>SUM(BL62:BO62)</f>
        <v>-154.784</v>
      </c>
      <c r="BQ62" s="125">
        <v>-32.07</v>
      </c>
      <c r="BR62" s="125">
        <v>-40.029</v>
      </c>
      <c r="BS62" s="172">
        <f>-43.534+5.163</f>
        <v>-38.371</v>
      </c>
      <c r="BT62" s="125">
        <f>-115.816+23.714+2.301</f>
        <v>-89.801</v>
      </c>
      <c r="BU62" s="124">
        <f>SUM(BQ62:BT62)</f>
        <v>-200.271</v>
      </c>
      <c r="BV62" s="125">
        <v>-34.588</v>
      </c>
      <c r="BW62" s="172">
        <v>-44.842</v>
      </c>
      <c r="BX62" s="125">
        <v>-51.772</v>
      </c>
      <c r="BY62" s="125">
        <v>-120.595</v>
      </c>
      <c r="BZ62" s="124">
        <f>SUM(BV62:BY62)</f>
        <v>-251.797</v>
      </c>
      <c r="CA62" s="125">
        <v>-5.293</v>
      </c>
      <c r="CB62" s="125">
        <f>-37.264-1.967</f>
        <v>-39.231</v>
      </c>
      <c r="CC62" s="125">
        <f>-60.697-0.896</f>
        <v>-61.593</v>
      </c>
      <c r="CD62" s="125">
        <f>-127.181-0.27</f>
        <v>-127.451</v>
      </c>
      <c r="CE62" s="124">
        <f>SUM(CA62:CD62)</f>
        <v>-233.568</v>
      </c>
      <c r="CF62" s="125">
        <f>-49.092-0.372</f>
        <v>-49.464</v>
      </c>
      <c r="CG62" s="125">
        <f>-83.053-0.434</f>
        <v>-83.487</v>
      </c>
      <c r="CH62" s="172">
        <f>-70.174-0.611</f>
        <v>-70.785</v>
      </c>
      <c r="CI62" s="125">
        <v>-156.228</v>
      </c>
      <c r="CJ62" s="124">
        <f>SUM(CF62:CI62)</f>
        <v>-359.964</v>
      </c>
      <c r="CK62" s="128">
        <v>-70.327</v>
      </c>
      <c r="CL62" s="126">
        <f>-111.832+1.661</f>
        <v>-110.171</v>
      </c>
      <c r="CM62" s="128">
        <v>-97.288</v>
      </c>
      <c r="CN62" s="126">
        <f>-198.324-28.171</f>
        <v>-226.495</v>
      </c>
      <c r="CO62" s="127">
        <f>SUM(CK62:CN62)</f>
        <v>-504.281</v>
      </c>
      <c r="CP62" s="128">
        <v>-119.034</v>
      </c>
      <c r="CQ62" s="126">
        <v>-145.016</v>
      </c>
      <c r="CR62" s="128">
        <f>-99.243-26.085</f>
        <v>-125.328</v>
      </c>
      <c r="CS62" s="128">
        <v>-262.252</v>
      </c>
      <c r="CT62" s="127">
        <f>SUM(CP62:CS62)</f>
        <v>-651.63</v>
      </c>
      <c r="CU62" s="126">
        <v>-134.504</v>
      </c>
      <c r="CV62" s="128">
        <v>-165.298</v>
      </c>
      <c r="CW62" s="128">
        <v>-152.534</v>
      </c>
      <c r="CX62" s="126">
        <v>-309.125</v>
      </c>
      <c r="CY62" s="127">
        <f>SUM(CU62:CX62)</f>
        <v>-761.461</v>
      </c>
      <c r="CZ62" s="126">
        <v>-135.839</v>
      </c>
      <c r="DA62" s="126">
        <v>-162.646</v>
      </c>
      <c r="DB62" s="126">
        <v>-134.905</v>
      </c>
      <c r="DC62" s="128">
        <f>-226.394</f>
        <v>-226.394</v>
      </c>
      <c r="DD62" s="127">
        <f>SUM(CZ62:DC62)</f>
        <v>-659.784</v>
      </c>
      <c r="DE62" s="126">
        <v>-91.029</v>
      </c>
      <c r="DF62" s="128">
        <f>-138.128</f>
        <v>-138.128</v>
      </c>
      <c r="DG62" s="126">
        <f>-DG63*DG61</f>
        <v>-46.5567784932622</v>
      </c>
      <c r="DH62" s="126">
        <f>-DH63*DH61</f>
        <v>-187.919777953488</v>
      </c>
      <c r="DI62" s="127">
        <f>SUM(DE62:DH62)</f>
        <v>-463.63355644675</v>
      </c>
      <c r="DJ62" s="126">
        <f>-DJ63*DJ61</f>
        <v>-72.7849251213412</v>
      </c>
      <c r="DK62" s="126">
        <f>-DK63*DK61</f>
        <v>-86.4420929489594</v>
      </c>
      <c r="DL62" s="126">
        <f>-DL63*DL61</f>
        <v>-40.2657545825755</v>
      </c>
      <c r="DM62" s="126">
        <f>-DM63*DM61</f>
        <v>-179.592904152514</v>
      </c>
      <c r="DN62" s="127">
        <f>SUM(DJ62:DM62)</f>
        <v>-379.08567680539</v>
      </c>
      <c r="DO62" s="126">
        <f>-DO63*DO61</f>
        <v>-69.7003649084433</v>
      </c>
      <c r="DP62" s="126">
        <f>-DP63*DP61</f>
        <v>-83.4640917319208</v>
      </c>
      <c r="DQ62" s="126">
        <f>-DQ63*DQ61</f>
        <v>-36.9777622344444</v>
      </c>
      <c r="DR62" s="126">
        <f>-DR63*DR61</f>
        <v>-175.171074119374</v>
      </c>
      <c r="DS62" s="127">
        <f>SUM(DO62:DR62)</f>
        <v>-365.313292994182</v>
      </c>
    </row>
    <row r="63" s="4" customFormat="1" spans="1:123">
      <c r="A63" s="554"/>
      <c r="B63" s="555" t="s">
        <v>80</v>
      </c>
      <c r="C63" s="140">
        <f>-C62/C61</f>
        <v>0.0958664620107445</v>
      </c>
      <c r="D63" s="157"/>
      <c r="E63" s="157"/>
      <c r="F63" s="157"/>
      <c r="G63" s="157"/>
      <c r="H63" s="140">
        <f>-H62/H61</f>
        <v>0.0737732362505098</v>
      </c>
      <c r="I63" s="157"/>
      <c r="J63" s="157"/>
      <c r="K63" s="157"/>
      <c r="L63" s="157"/>
      <c r="M63" s="140">
        <f>-M62/M61</f>
        <v>0.534218466129259</v>
      </c>
      <c r="N63" s="157"/>
      <c r="O63" s="157"/>
      <c r="P63" s="157"/>
      <c r="Q63" s="157"/>
      <c r="R63" s="140">
        <f>-R62/R61</f>
        <v>0.398936505762183</v>
      </c>
      <c r="S63" s="157"/>
      <c r="T63" s="157"/>
      <c r="U63" s="157"/>
      <c r="V63" s="157"/>
      <c r="W63" s="140">
        <f>-W62/W61</f>
        <v>0.305459171463263</v>
      </c>
      <c r="X63" s="157"/>
      <c r="Y63" s="157"/>
      <c r="Z63" s="157"/>
      <c r="AA63" s="157"/>
      <c r="AB63" s="140">
        <f>-AB62/AB61</f>
        <v>0.327831726232941</v>
      </c>
      <c r="AC63" s="291"/>
      <c r="AD63" s="291"/>
      <c r="AE63" s="291"/>
      <c r="AF63" s="291"/>
      <c r="AG63" s="140">
        <f t="shared" ref="AG63:BP63" si="141">-AG62/AG61</f>
        <v>0.333266039928633</v>
      </c>
      <c r="AH63" s="291">
        <f t="shared" si="141"/>
        <v>0.362704645281512</v>
      </c>
      <c r="AI63" s="291">
        <f t="shared" si="141"/>
        <v>0.357223701731025</v>
      </c>
      <c r="AJ63" s="291">
        <f t="shared" si="141"/>
        <v>0.354640371229698</v>
      </c>
      <c r="AK63" s="291">
        <f t="shared" si="141"/>
        <v>0.365470986800862</v>
      </c>
      <c r="AL63" s="140">
        <f t="shared" si="141"/>
        <v>0.360998832300368</v>
      </c>
      <c r="AM63" s="291">
        <f t="shared" si="141"/>
        <v>0.365001689760054</v>
      </c>
      <c r="AN63" s="291">
        <f t="shared" si="141"/>
        <v>0.191327746166998</v>
      </c>
      <c r="AO63" s="291">
        <f t="shared" si="141"/>
        <v>0.300542451392698</v>
      </c>
      <c r="AP63" s="291">
        <f t="shared" si="141"/>
        <v>0.289920276306222</v>
      </c>
      <c r="AQ63" s="140">
        <f t="shared" si="141"/>
        <v>0.288322373595947</v>
      </c>
      <c r="AR63" s="291">
        <f t="shared" si="141"/>
        <v>0.298427066330316</v>
      </c>
      <c r="AS63" s="291">
        <f t="shared" si="141"/>
        <v>0.29665798881429</v>
      </c>
      <c r="AT63" s="291">
        <f t="shared" si="141"/>
        <v>0.295109234558424</v>
      </c>
      <c r="AU63" s="291">
        <f t="shared" si="141"/>
        <v>0.295337453265324</v>
      </c>
      <c r="AV63" s="140">
        <f t="shared" si="141"/>
        <v>0.296074797419459</v>
      </c>
      <c r="AW63" s="291">
        <f t="shared" si="141"/>
        <v>0.262625272941045</v>
      </c>
      <c r="AX63" s="291">
        <f t="shared" si="141"/>
        <v>0.301302348238463</v>
      </c>
      <c r="AY63" s="291">
        <f t="shared" si="141"/>
        <v>0.271411353501266</v>
      </c>
      <c r="AZ63" s="291">
        <f t="shared" si="141"/>
        <v>0.302561295558785</v>
      </c>
      <c r="BA63" s="140">
        <f t="shared" si="141"/>
        <v>0.288154305923499</v>
      </c>
      <c r="BB63" s="291">
        <f t="shared" si="141"/>
        <v>0.302705461970393</v>
      </c>
      <c r="BC63" s="291">
        <f t="shared" si="141"/>
        <v>0.292979932068643</v>
      </c>
      <c r="BD63" s="291">
        <f t="shared" si="141"/>
        <v>0.288094754260168</v>
      </c>
      <c r="BE63" s="291">
        <f t="shared" si="141"/>
        <v>0.297839386201494</v>
      </c>
      <c r="BF63" s="140">
        <f t="shared" si="141"/>
        <v>0.296051340899379</v>
      </c>
      <c r="BG63" s="291">
        <f t="shared" si="141"/>
        <v>0.297874894945372</v>
      </c>
      <c r="BH63" s="291">
        <f t="shared" si="141"/>
        <v>0.304822480858399</v>
      </c>
      <c r="BI63" s="291">
        <f t="shared" si="141"/>
        <v>0.312548639169323</v>
      </c>
      <c r="BJ63" s="291">
        <f t="shared" si="141"/>
        <v>0.306</v>
      </c>
      <c r="BK63" s="140">
        <f t="shared" si="141"/>
        <v>0.306123558946255</v>
      </c>
      <c r="BL63" s="291">
        <f t="shared" si="141"/>
        <v>0.308489388264669</v>
      </c>
      <c r="BM63" s="291">
        <f t="shared" si="141"/>
        <v>0.296221682632014</v>
      </c>
      <c r="BN63" s="291">
        <f t="shared" si="141"/>
        <v>0.307871114745362</v>
      </c>
      <c r="BO63" s="291">
        <f t="shared" si="141"/>
        <v>0.305765686569351</v>
      </c>
      <c r="BP63" s="140">
        <f t="shared" si="141"/>
        <v>0.30516086676222</v>
      </c>
      <c r="BQ63" s="291">
        <f t="shared" ref="BQ63:BY63" si="142">-BQ62/BQ61</f>
        <v>0.299096275985563</v>
      </c>
      <c r="BR63" s="291">
        <f t="shared" si="142"/>
        <v>0.294766529944992</v>
      </c>
      <c r="BS63" s="556">
        <f t="shared" si="142"/>
        <v>0.27815755326321</v>
      </c>
      <c r="BT63" s="556">
        <f t="shared" si="142"/>
        <v>0.268639258587835</v>
      </c>
      <c r="BU63" s="140">
        <f t="shared" si="142"/>
        <v>0.280001398112548</v>
      </c>
      <c r="BV63" s="556">
        <f t="shared" si="142"/>
        <v>0.263646134262259</v>
      </c>
      <c r="BW63" s="556">
        <f t="shared" si="142"/>
        <v>0.26403740166753</v>
      </c>
      <c r="BX63" s="556">
        <f t="shared" si="142"/>
        <v>0.29125645555093</v>
      </c>
      <c r="BY63" s="556">
        <f t="shared" si="142"/>
        <v>0.288080245380014</v>
      </c>
      <c r="BZ63" s="140">
        <f t="shared" ref="BZ63:CO63" si="143">-BZ62/BZ61</f>
        <v>0.280587212068737</v>
      </c>
      <c r="CA63" s="556">
        <f t="shared" si="143"/>
        <v>0.156020633750921</v>
      </c>
      <c r="CB63" s="556">
        <f t="shared" si="143"/>
        <v>0.289465723203152</v>
      </c>
      <c r="CC63" s="556">
        <f t="shared" si="143"/>
        <v>0.289344250743408</v>
      </c>
      <c r="CD63" s="556">
        <f t="shared" si="143"/>
        <v>0.274193131994613</v>
      </c>
      <c r="CE63" s="140">
        <f t="shared" si="143"/>
        <v>0.275711299219616</v>
      </c>
      <c r="CF63" s="556">
        <f t="shared" si="143"/>
        <v>0.245220909018799</v>
      </c>
      <c r="CG63" s="556">
        <f t="shared" si="143"/>
        <v>0.278968824138738</v>
      </c>
      <c r="CH63" s="556">
        <f t="shared" si="143"/>
        <v>0.250931443622403</v>
      </c>
      <c r="CI63" s="556">
        <f t="shared" si="143"/>
        <v>0.26381308764725</v>
      </c>
      <c r="CJ63" s="140">
        <f t="shared" si="143"/>
        <v>0.261741935906078</v>
      </c>
      <c r="CK63" s="556">
        <f t="shared" si="143"/>
        <v>0.270150773072121</v>
      </c>
      <c r="CL63" s="556">
        <f t="shared" si="143"/>
        <v>0.281642649160346</v>
      </c>
      <c r="CM63" s="556">
        <f t="shared" si="143"/>
        <v>0.275792469625069</v>
      </c>
      <c r="CN63" s="556">
        <f t="shared" si="143"/>
        <v>0.287074638518789</v>
      </c>
      <c r="CO63" s="140">
        <f t="shared" si="143"/>
        <v>0.281213473772496</v>
      </c>
      <c r="CP63" s="556">
        <f t="shared" ref="CP63:CW63" si="144">-CP62/CP61</f>
        <v>0.290724625646311</v>
      </c>
      <c r="CQ63" s="556">
        <f t="shared" si="144"/>
        <v>0.298007270575132</v>
      </c>
      <c r="CR63" s="556">
        <f t="shared" si="144"/>
        <v>0.280899304520505</v>
      </c>
      <c r="CS63" s="556">
        <f t="shared" si="144"/>
        <v>0.281470828145795</v>
      </c>
      <c r="CT63" s="140">
        <f t="shared" si="144"/>
        <v>0.286563659191405</v>
      </c>
      <c r="CU63" s="556">
        <f t="shared" si="144"/>
        <v>0.295013434227121</v>
      </c>
      <c r="CV63" s="556">
        <f t="shared" si="144"/>
        <v>0.296116226577335</v>
      </c>
      <c r="CW63" s="556">
        <f t="shared" si="144"/>
        <v>0.302404421852325</v>
      </c>
      <c r="CX63" s="556">
        <f t="shared" ref="CX63:CY63" si="145">-CX62/CX61</f>
        <v>0.292309045245138</v>
      </c>
      <c r="CY63" s="140">
        <f t="shared" si="145"/>
        <v>0.295589378733633</v>
      </c>
      <c r="CZ63" s="556">
        <f t="shared" ref="CZ63:DB63" si="146">-CZ62/CZ61</f>
        <v>0.301588993164021</v>
      </c>
      <c r="DA63" s="556">
        <f t="shared" si="146"/>
        <v>0.304836838465301</v>
      </c>
      <c r="DB63" s="556">
        <f t="shared" si="146"/>
        <v>0.305394575994929</v>
      </c>
      <c r="DC63" s="556">
        <f t="shared" ref="DC63:DD63" si="147">-DC62/DC61</f>
        <v>0.278376666892095</v>
      </c>
      <c r="DD63" s="140">
        <f t="shared" si="147"/>
        <v>0.294682324482674</v>
      </c>
      <c r="DE63" s="556">
        <f t="shared" ref="DE63:DF63" si="148">-DE62/DE61</f>
        <v>0.318197548212544</v>
      </c>
      <c r="DF63" s="556">
        <f t="shared" si="148"/>
        <v>0.2955551608962</v>
      </c>
      <c r="DG63" s="557">
        <v>0.3</v>
      </c>
      <c r="DH63" s="557">
        <v>0.296</v>
      </c>
      <c r="DI63" s="140">
        <f>-DI62/DI61</f>
        <v>0.300381697861856</v>
      </c>
      <c r="DJ63" s="557">
        <v>0.3</v>
      </c>
      <c r="DK63" s="557">
        <v>0.3</v>
      </c>
      <c r="DL63" s="557">
        <v>0.3</v>
      </c>
      <c r="DM63" s="557">
        <v>0.3</v>
      </c>
      <c r="DN63" s="140">
        <f>-DN62/DN61</f>
        <v>0.3</v>
      </c>
      <c r="DO63" s="557">
        <v>0.3</v>
      </c>
      <c r="DP63" s="557">
        <v>0.3</v>
      </c>
      <c r="DQ63" s="557">
        <v>0.3</v>
      </c>
      <c r="DR63" s="557">
        <v>0.3</v>
      </c>
      <c r="DS63" s="140">
        <f>-DS62/DS61</f>
        <v>0.3</v>
      </c>
    </row>
    <row r="64" spans="1:123">
      <c r="B64" s="198" t="s">
        <v>81</v>
      </c>
      <c r="C64" s="124">
        <f>SUM(C61:C62)</f>
        <v>9.42468799999999</v>
      </c>
      <c r="H64" s="124">
        <f>SUM(H61:H62)</f>
        <v>15.319887</v>
      </c>
      <c r="M64" s="124">
        <f>SUM(M61:M62)</f>
        <v>11.014791</v>
      </c>
      <c r="R64" s="124">
        <f>SUM(R61:R62)</f>
        <v>30.8424389999999</v>
      </c>
      <c r="W64" s="124">
        <f>SUM(W61:W62)</f>
        <v>42.121694</v>
      </c>
      <c r="AB64" s="124">
        <f>SUM(AB61:AB62)</f>
        <v>58.415456</v>
      </c>
      <c r="AG64" s="124">
        <f>SUM(AG61:AG62)</f>
        <v>122.197</v>
      </c>
      <c r="AH64" s="125">
        <f>AH61+AH62</f>
        <v>33.516</v>
      </c>
      <c r="AI64" s="125">
        <f>AI61+AI62</f>
        <v>38.618</v>
      </c>
      <c r="AJ64" s="125">
        <f>AJ61+AJ62</f>
        <v>38.941</v>
      </c>
      <c r="AK64" s="125">
        <f>AK61+AK62</f>
        <v>73.889</v>
      </c>
      <c r="AL64" s="124">
        <f>SUM(AL61:AL62)</f>
        <v>184.964</v>
      </c>
      <c r="AM64" s="125">
        <f>AM61+AM62</f>
        <v>46.974</v>
      </c>
      <c r="AN64" s="125">
        <f>AN61+AN62</f>
        <v>57.702</v>
      </c>
      <c r="AO64" s="125">
        <f>AO61+AO62</f>
        <v>57.3800000000001</v>
      </c>
      <c r="AP64" s="125">
        <f>AP61+AP62</f>
        <v>109.375</v>
      </c>
      <c r="AQ64" s="124">
        <f>SUM(AQ61:AQ62)</f>
        <v>271.431</v>
      </c>
      <c r="AR64" s="125">
        <f>AR61+AR62</f>
        <v>47.2790000000001</v>
      </c>
      <c r="AS64" s="125">
        <f>AS61+AS62</f>
        <v>56.465</v>
      </c>
      <c r="AT64" s="125">
        <f>AT61+AT62</f>
        <v>66.111</v>
      </c>
      <c r="AU64" s="125">
        <f>AU61+AU62</f>
        <v>109.692</v>
      </c>
      <c r="AV64" s="124">
        <f>SUM(AV61:AV62)</f>
        <v>279.547</v>
      </c>
      <c r="AW64" s="125">
        <f>AW61+AW62</f>
        <v>52.681</v>
      </c>
      <c r="AX64" s="125">
        <f>AX61+AX62</f>
        <v>48.767</v>
      </c>
      <c r="AY64" s="125">
        <f>AY61+AY62</f>
        <v>60.451</v>
      </c>
      <c r="AZ64" s="125">
        <f>AZ61+AZ62</f>
        <v>110.853</v>
      </c>
      <c r="BA64" s="124">
        <f>SUM(BA61:BA62)</f>
        <v>272.733</v>
      </c>
      <c r="BB64" s="125">
        <f>BB61+BB62</f>
        <v>47.81</v>
      </c>
      <c r="BC64" s="125">
        <f>BC61+BC62</f>
        <v>47.668</v>
      </c>
      <c r="BD64" s="125">
        <f>BD61+BD62</f>
        <v>49.046</v>
      </c>
      <c r="BE64" s="125">
        <f>BE61+BE62</f>
        <v>117.416</v>
      </c>
      <c r="BF64" s="124">
        <f>SUM(BF61:BF62)</f>
        <v>261.94</v>
      </c>
      <c r="BG64" s="125">
        <f>BG61+BG62</f>
        <v>40.936</v>
      </c>
      <c r="BH64" s="125">
        <f>BH61+BH62</f>
        <v>52.025</v>
      </c>
      <c r="BI64" s="125">
        <f>BI61+BI62</f>
        <v>64.4850000000001</v>
      </c>
      <c r="BJ64" s="125">
        <f>BJ61+BJ62</f>
        <v>137.055284</v>
      </c>
      <c r="BK64" s="124">
        <f>SUM(BK61:BK62)</f>
        <v>294.501284</v>
      </c>
      <c r="BL64" s="125">
        <f>BL61+BL62</f>
        <v>44.312</v>
      </c>
      <c r="BM64" s="125">
        <f t="shared" ref="BM64:CA64" si="149">BM61+BM62</f>
        <v>52.7510000000001</v>
      </c>
      <c r="BN64" s="125">
        <f t="shared" si="149"/>
        <v>75.3320000000001</v>
      </c>
      <c r="BO64" s="125">
        <f t="shared" si="149"/>
        <v>180.058</v>
      </c>
      <c r="BP64" s="124">
        <f t="shared" si="149"/>
        <v>352.437</v>
      </c>
      <c r="BQ64" s="125">
        <f t="shared" si="149"/>
        <v>75.153</v>
      </c>
      <c r="BR64" s="125">
        <f t="shared" si="149"/>
        <v>95.77</v>
      </c>
      <c r="BS64" s="172">
        <f t="shared" si="149"/>
        <v>99.576</v>
      </c>
      <c r="BT64" s="125">
        <f t="shared" si="149"/>
        <v>244.48</v>
      </c>
      <c r="BU64" s="124">
        <f t="shared" si="149"/>
        <v>514.979</v>
      </c>
      <c r="BV64" s="125">
        <f t="shared" si="149"/>
        <v>96.603</v>
      </c>
      <c r="BW64" s="172">
        <f t="shared" si="149"/>
        <v>124.99</v>
      </c>
      <c r="BX64" s="125">
        <f t="shared" si="149"/>
        <v>125.982</v>
      </c>
      <c r="BY64" s="125">
        <f t="shared" si="149"/>
        <v>298.021</v>
      </c>
      <c r="BZ64" s="124">
        <f t="shared" si="149"/>
        <v>645.596</v>
      </c>
      <c r="CA64" s="125">
        <f t="shared" si="149"/>
        <v>28.632</v>
      </c>
      <c r="CB64" s="125">
        <f t="shared" ref="CB64:CP64" si="150">CB61+CB62</f>
        <v>96.2980000000001</v>
      </c>
      <c r="CC64" s="125">
        <f t="shared" si="150"/>
        <v>151.278</v>
      </c>
      <c r="CD64" s="125">
        <f t="shared" si="150"/>
        <v>337.371</v>
      </c>
      <c r="CE64" s="124">
        <f t="shared" si="150"/>
        <v>613.579</v>
      </c>
      <c r="CF64" s="125">
        <f t="shared" si="150"/>
        <v>152.248</v>
      </c>
      <c r="CG64" s="125">
        <f t="shared" si="150"/>
        <v>215.783</v>
      </c>
      <c r="CH64" s="125">
        <f t="shared" si="150"/>
        <v>211.304</v>
      </c>
      <c r="CI64" s="125">
        <f t="shared" si="150"/>
        <v>435.964</v>
      </c>
      <c r="CJ64" s="124">
        <f t="shared" si="150"/>
        <v>1015.299</v>
      </c>
      <c r="CK64" s="126">
        <f t="shared" si="150"/>
        <v>189.998</v>
      </c>
      <c r="CL64" s="126">
        <f t="shared" si="150"/>
        <v>281.002</v>
      </c>
      <c r="CM64" s="126">
        <f t="shared" si="150"/>
        <v>255.47</v>
      </c>
      <c r="CN64" s="126">
        <f t="shared" si="150"/>
        <v>562.481</v>
      </c>
      <c r="CO64" s="127">
        <f t="shared" si="150"/>
        <v>1288.951</v>
      </c>
      <c r="CP64" s="126">
        <f t="shared" si="150"/>
        <v>290.405</v>
      </c>
      <c r="CQ64" s="126">
        <f t="shared" ref="CQ64:DI64" si="151">CQ61+CQ62</f>
        <v>341.603</v>
      </c>
      <c r="CR64" s="126">
        <f t="shared" si="151"/>
        <v>320.839</v>
      </c>
      <c r="CS64" s="126">
        <f t="shared" si="151"/>
        <v>669.468</v>
      </c>
      <c r="CT64" s="127">
        <f t="shared" si="151"/>
        <v>1622.315</v>
      </c>
      <c r="CU64" s="126">
        <f t="shared" si="151"/>
        <v>321.421</v>
      </c>
      <c r="CV64" s="126">
        <f t="shared" si="151"/>
        <v>392.922</v>
      </c>
      <c r="CW64" s="126">
        <f t="shared" si="151"/>
        <v>351.87</v>
      </c>
      <c r="CX64" s="126">
        <f t="shared" ref="CX64" si="152">CX61+CX62</f>
        <v>748.403</v>
      </c>
      <c r="CY64" s="127">
        <f t="shared" si="151"/>
        <v>1814.616</v>
      </c>
      <c r="CZ64" s="126">
        <f t="shared" ref="CZ64:DB64" si="153">CZ61+CZ62</f>
        <v>314.572</v>
      </c>
      <c r="DA64" s="126">
        <f t="shared" si="153"/>
        <v>370.905</v>
      </c>
      <c r="DB64" s="126">
        <f t="shared" si="153"/>
        <v>306.835</v>
      </c>
      <c r="DC64" s="126">
        <f t="shared" si="151"/>
        <v>586.871</v>
      </c>
      <c r="DD64" s="127">
        <f t="shared" si="151"/>
        <v>1579.183</v>
      </c>
      <c r="DE64" s="126">
        <f t="shared" si="151"/>
        <v>195.048</v>
      </c>
      <c r="DF64" s="126">
        <f t="shared" si="151"/>
        <v>329.223</v>
      </c>
      <c r="DG64" s="126">
        <f t="shared" si="151"/>
        <v>108.632483150945</v>
      </c>
      <c r="DH64" s="126">
        <f t="shared" si="151"/>
        <v>446.944336754242</v>
      </c>
      <c r="DI64" s="127">
        <f t="shared" si="151"/>
        <v>1079.84781990519</v>
      </c>
      <c r="DJ64" s="126">
        <f t="shared" ref="DJ64:DN64" si="154">DJ61+DJ62</f>
        <v>169.831491949796</v>
      </c>
      <c r="DK64" s="126">
        <f t="shared" si="154"/>
        <v>201.698216880905</v>
      </c>
      <c r="DL64" s="126">
        <f t="shared" si="154"/>
        <v>93.9534273593428</v>
      </c>
      <c r="DM64" s="126">
        <f t="shared" si="154"/>
        <v>419.050109689198</v>
      </c>
      <c r="DN64" s="127">
        <f t="shared" si="154"/>
        <v>884.533245879241</v>
      </c>
      <c r="DO64" s="126">
        <f t="shared" ref="DO64:DS64" si="155">DO61+DO62</f>
        <v>162.634184786368</v>
      </c>
      <c r="DP64" s="126">
        <f t="shared" si="155"/>
        <v>194.749547374482</v>
      </c>
      <c r="DQ64" s="126">
        <f t="shared" si="155"/>
        <v>86.2814452137036</v>
      </c>
      <c r="DR64" s="126">
        <f t="shared" si="155"/>
        <v>408.732506278539</v>
      </c>
      <c r="DS64" s="127">
        <f t="shared" si="155"/>
        <v>852.397683653093</v>
      </c>
    </row>
    <row r="65" hidden="1" outlineLevel="1" spans="1:123">
      <c r="B65" s="198" t="s">
        <v>82</v>
      </c>
      <c r="C65" s="124">
        <v>0</v>
      </c>
      <c r="H65" s="124">
        <v>0</v>
      </c>
      <c r="M65" s="124">
        <v>0</v>
      </c>
      <c r="R65" s="124">
        <v>0</v>
      </c>
      <c r="W65" s="124">
        <v>0</v>
      </c>
      <c r="AB65" s="124">
        <v>0</v>
      </c>
      <c r="AG65" s="124">
        <v>-0.35</v>
      </c>
      <c r="AH65" s="125">
        <v>-0.144</v>
      </c>
      <c r="AI65" s="125">
        <v>-0.239</v>
      </c>
      <c r="AJ65" s="125">
        <v>-0.147</v>
      </c>
      <c r="AK65" s="125">
        <v>-0.371</v>
      </c>
      <c r="AL65" s="124">
        <f>SUM(AH65:AK65)</f>
        <v>-0.901</v>
      </c>
      <c r="AM65" s="125">
        <v>-0.331</v>
      </c>
      <c r="AN65" s="125">
        <v>-0.48</v>
      </c>
      <c r="AO65" s="125">
        <v>-0.064</v>
      </c>
      <c r="AP65" s="125">
        <v>0</v>
      </c>
      <c r="AQ65" s="124">
        <f>SUM(AM65:AP65)</f>
        <v>-0.875</v>
      </c>
      <c r="AR65" s="125">
        <v>0</v>
      </c>
      <c r="AS65" s="125">
        <v>0</v>
      </c>
      <c r="AT65" s="125">
        <v>0</v>
      </c>
      <c r="AU65" s="125">
        <v>0</v>
      </c>
      <c r="AV65" s="124">
        <f>SUM(AR65:AU65)</f>
        <v>0</v>
      </c>
      <c r="AW65" s="125">
        <f>AV65</f>
        <v>0</v>
      </c>
      <c r="AX65" s="125">
        <v>0</v>
      </c>
      <c r="AY65" s="125">
        <v>0</v>
      </c>
      <c r="AZ65" s="125">
        <v>0</v>
      </c>
      <c r="BA65" s="124">
        <f>SUM(AW65:AZ65)</f>
        <v>0</v>
      </c>
      <c r="BB65" s="125">
        <f>BA65</f>
        <v>0</v>
      </c>
      <c r="BC65" s="125">
        <v>0</v>
      </c>
      <c r="BD65" s="125">
        <v>0</v>
      </c>
      <c r="BE65" s="125">
        <v>0</v>
      </c>
      <c r="BF65" s="124">
        <f>SUM(BB65:BE65)</f>
        <v>0</v>
      </c>
      <c r="BG65" s="125">
        <f>BF65</f>
        <v>0</v>
      </c>
      <c r="BH65" s="125">
        <v>0</v>
      </c>
      <c r="BI65" s="125">
        <v>0</v>
      </c>
      <c r="BJ65" s="125">
        <v>0</v>
      </c>
      <c r="BK65" s="124">
        <f>SUM(BG65:BJ65)</f>
        <v>0</v>
      </c>
      <c r="BL65" s="125">
        <f>BK65</f>
        <v>0</v>
      </c>
      <c r="BM65" s="125">
        <v>0</v>
      </c>
      <c r="BN65" s="125">
        <v>0</v>
      </c>
      <c r="BO65" s="172">
        <v>0</v>
      </c>
      <c r="BP65" s="124">
        <f>SUM(BL65:BO65)</f>
        <v>0</v>
      </c>
      <c r="BQ65" s="172">
        <v>0</v>
      </c>
      <c r="BR65" s="172">
        <v>0</v>
      </c>
      <c r="BS65" s="172">
        <v>0</v>
      </c>
      <c r="BT65" s="172">
        <v>0</v>
      </c>
      <c r="BU65" s="173">
        <f>SUM(BQ65:BT65)</f>
        <v>0</v>
      </c>
      <c r="BV65" s="172">
        <v>0</v>
      </c>
      <c r="BW65" s="172">
        <v>0</v>
      </c>
      <c r="BX65" s="172">
        <v>0</v>
      </c>
      <c r="BY65" s="172">
        <v>0</v>
      </c>
      <c r="BZ65" s="173">
        <f>SUM(BV65:BY65)</f>
        <v>0</v>
      </c>
      <c r="CA65" s="172">
        <v>0</v>
      </c>
      <c r="CB65" s="172">
        <v>0</v>
      </c>
      <c r="CC65" s="172">
        <v>0</v>
      </c>
      <c r="CD65" s="172">
        <v>0</v>
      </c>
      <c r="CE65" s="173">
        <f>SUM(CA65:CD65)</f>
        <v>0</v>
      </c>
      <c r="CF65" s="172">
        <v>0</v>
      </c>
      <c r="CG65" s="172">
        <v>0</v>
      </c>
      <c r="CH65" s="172">
        <v>0</v>
      </c>
      <c r="CI65" s="172">
        <v>0</v>
      </c>
      <c r="CJ65" s="124">
        <f>SUM(CF65:CI65)</f>
        <v>0</v>
      </c>
      <c r="CK65" s="128">
        <v>0</v>
      </c>
      <c r="CL65" s="128">
        <v>0</v>
      </c>
      <c r="CM65" s="128">
        <v>0</v>
      </c>
      <c r="CN65" s="128">
        <v>0</v>
      </c>
      <c r="CO65" s="127">
        <f>SUM(CK65:CN65)</f>
        <v>0</v>
      </c>
      <c r="CP65" s="128">
        <v>0</v>
      </c>
      <c r="CQ65" s="128">
        <v>0</v>
      </c>
      <c r="CR65" s="128">
        <v>0</v>
      </c>
      <c r="CS65" s="128">
        <v>0</v>
      </c>
      <c r="CT65" s="127">
        <f>SUM(CP65:CS65)</f>
        <v>0</v>
      </c>
      <c r="CU65" s="128">
        <v>0</v>
      </c>
      <c r="CV65" s="128">
        <v>0</v>
      </c>
      <c r="CW65" s="128">
        <v>0</v>
      </c>
      <c r="CX65" s="128">
        <v>0</v>
      </c>
      <c r="CY65" s="127">
        <f>SUM(CU65:CX65)</f>
        <v>0</v>
      </c>
      <c r="CZ65" s="128">
        <v>0</v>
      </c>
      <c r="DA65" s="128">
        <v>0</v>
      </c>
      <c r="DB65" s="128">
        <v>0</v>
      </c>
      <c r="DC65" s="128">
        <v>0</v>
      </c>
      <c r="DD65" s="127">
        <f>SUM(CZ65:DC65)</f>
        <v>0</v>
      </c>
      <c r="DE65" s="128">
        <v>0</v>
      </c>
      <c r="DF65" s="128">
        <v>0</v>
      </c>
      <c r="DG65" s="548">
        <v>0</v>
      </c>
      <c r="DH65" s="548">
        <v>0</v>
      </c>
      <c r="DI65" s="127">
        <f>SUM(DE65:DH65)</f>
        <v>0</v>
      </c>
      <c r="DJ65" s="548">
        <v>0</v>
      </c>
      <c r="DK65" s="548">
        <v>0</v>
      </c>
      <c r="DL65" s="548">
        <v>0</v>
      </c>
      <c r="DM65" s="548">
        <v>0</v>
      </c>
      <c r="DN65" s="127">
        <f>SUM(DJ65:DM65)</f>
        <v>0</v>
      </c>
      <c r="DO65" s="548">
        <v>0</v>
      </c>
      <c r="DP65" s="548">
        <v>0</v>
      </c>
      <c r="DQ65" s="548">
        <v>0</v>
      </c>
      <c r="DR65" s="548">
        <v>0</v>
      </c>
      <c r="DS65" s="127">
        <f>SUM(DO65:DR65)</f>
        <v>0</v>
      </c>
    </row>
    <row r="66" s="3" customFormat="1" collapsed="1" spans="1:123">
      <c r="A66" s="132"/>
      <c r="B66" s="227" t="s">
        <v>83</v>
      </c>
      <c r="C66" s="131">
        <f>C64+C65</f>
        <v>9.42468799999999</v>
      </c>
      <c r="D66" s="132"/>
      <c r="E66" s="132"/>
      <c r="F66" s="132"/>
      <c r="G66" s="132"/>
      <c r="H66" s="131">
        <f>H64+H65</f>
        <v>15.319887</v>
      </c>
      <c r="I66" s="132"/>
      <c r="J66" s="132"/>
      <c r="K66" s="132"/>
      <c r="L66" s="132"/>
      <c r="M66" s="131">
        <f>M64+M65</f>
        <v>11.014791</v>
      </c>
      <c r="N66" s="132"/>
      <c r="O66" s="132"/>
      <c r="P66" s="132"/>
      <c r="Q66" s="132"/>
      <c r="R66" s="131">
        <f>R64+R65</f>
        <v>30.8424389999999</v>
      </c>
      <c r="S66" s="132"/>
      <c r="T66" s="132"/>
      <c r="U66" s="132"/>
      <c r="V66" s="132"/>
      <c r="W66" s="131">
        <f>W64+W65</f>
        <v>42.121694</v>
      </c>
      <c r="X66" s="132"/>
      <c r="Y66" s="132"/>
      <c r="Z66" s="132"/>
      <c r="AA66" s="132"/>
      <c r="AB66" s="131">
        <f>AB64+AB65</f>
        <v>58.415456</v>
      </c>
      <c r="AC66" s="132"/>
      <c r="AD66" s="132"/>
      <c r="AE66" s="132"/>
      <c r="AF66" s="132"/>
      <c r="AG66" s="131">
        <f t="shared" ref="AG66:BM66" si="156">AG64+AG65</f>
        <v>121.847</v>
      </c>
      <c r="AH66" s="132">
        <f t="shared" si="156"/>
        <v>33.372</v>
      </c>
      <c r="AI66" s="132">
        <f t="shared" si="156"/>
        <v>38.379</v>
      </c>
      <c r="AJ66" s="132">
        <f t="shared" si="156"/>
        <v>38.794</v>
      </c>
      <c r="AK66" s="132">
        <f t="shared" si="156"/>
        <v>73.518</v>
      </c>
      <c r="AL66" s="131">
        <f t="shared" si="156"/>
        <v>184.063</v>
      </c>
      <c r="AM66" s="132">
        <f t="shared" si="156"/>
        <v>46.643</v>
      </c>
      <c r="AN66" s="132">
        <f t="shared" si="156"/>
        <v>57.222</v>
      </c>
      <c r="AO66" s="132">
        <f t="shared" si="156"/>
        <v>57.3160000000001</v>
      </c>
      <c r="AP66" s="132">
        <f t="shared" si="156"/>
        <v>109.375</v>
      </c>
      <c r="AQ66" s="131">
        <f t="shared" si="156"/>
        <v>270.556</v>
      </c>
      <c r="AR66" s="132">
        <f t="shared" si="156"/>
        <v>47.2790000000001</v>
      </c>
      <c r="AS66" s="132">
        <f t="shared" si="156"/>
        <v>56.465</v>
      </c>
      <c r="AT66" s="132">
        <f t="shared" si="156"/>
        <v>66.111</v>
      </c>
      <c r="AU66" s="132">
        <f t="shared" si="156"/>
        <v>109.692</v>
      </c>
      <c r="AV66" s="131">
        <f t="shared" si="156"/>
        <v>279.547</v>
      </c>
      <c r="AW66" s="132">
        <f t="shared" si="156"/>
        <v>52.681</v>
      </c>
      <c r="AX66" s="132">
        <f t="shared" si="156"/>
        <v>48.767</v>
      </c>
      <c r="AY66" s="132">
        <f t="shared" si="156"/>
        <v>60.451</v>
      </c>
      <c r="AZ66" s="132">
        <f t="shared" si="156"/>
        <v>110.853</v>
      </c>
      <c r="BA66" s="131">
        <f t="shared" si="156"/>
        <v>272.733</v>
      </c>
      <c r="BB66" s="132">
        <f t="shared" si="156"/>
        <v>47.81</v>
      </c>
      <c r="BC66" s="132">
        <f t="shared" si="156"/>
        <v>47.668</v>
      </c>
      <c r="BD66" s="132">
        <f t="shared" si="156"/>
        <v>49.046</v>
      </c>
      <c r="BE66" s="132">
        <f t="shared" si="156"/>
        <v>117.416</v>
      </c>
      <c r="BF66" s="131">
        <f t="shared" si="156"/>
        <v>261.94</v>
      </c>
      <c r="BG66" s="132">
        <f t="shared" si="156"/>
        <v>40.936</v>
      </c>
      <c r="BH66" s="132">
        <f t="shared" si="156"/>
        <v>52.025</v>
      </c>
      <c r="BI66" s="132">
        <f t="shared" si="156"/>
        <v>64.4850000000001</v>
      </c>
      <c r="BJ66" s="132">
        <f t="shared" si="156"/>
        <v>137.055284</v>
      </c>
      <c r="BK66" s="131">
        <f t="shared" si="156"/>
        <v>294.501284</v>
      </c>
      <c r="BL66" s="132">
        <f t="shared" si="156"/>
        <v>44.312</v>
      </c>
      <c r="BM66" s="132">
        <f t="shared" si="156"/>
        <v>52.7510000000001</v>
      </c>
      <c r="BN66" s="132">
        <f t="shared" ref="BN66:BZ66" si="157">BN64+BN65</f>
        <v>75.3320000000001</v>
      </c>
      <c r="BO66" s="132">
        <f t="shared" si="157"/>
        <v>180.058</v>
      </c>
      <c r="BP66" s="131">
        <f t="shared" si="157"/>
        <v>352.437</v>
      </c>
      <c r="BQ66" s="132">
        <f t="shared" si="157"/>
        <v>75.153</v>
      </c>
      <c r="BR66" s="132">
        <f t="shared" si="157"/>
        <v>95.77</v>
      </c>
      <c r="BS66" s="132">
        <f t="shared" si="157"/>
        <v>99.576</v>
      </c>
      <c r="BT66" s="132">
        <f t="shared" si="157"/>
        <v>244.48</v>
      </c>
      <c r="BU66" s="131">
        <f t="shared" si="157"/>
        <v>514.979</v>
      </c>
      <c r="BV66" s="132">
        <f t="shared" si="157"/>
        <v>96.603</v>
      </c>
      <c r="BW66" s="132">
        <f t="shared" si="157"/>
        <v>124.99</v>
      </c>
      <c r="BX66" s="132">
        <f t="shared" si="157"/>
        <v>125.982</v>
      </c>
      <c r="BY66" s="132">
        <f t="shared" si="157"/>
        <v>298.021</v>
      </c>
      <c r="BZ66" s="131">
        <f t="shared" si="157"/>
        <v>645.596</v>
      </c>
      <c r="CA66" s="132">
        <f t="shared" ref="CA66:CR66" si="158">CA64+CA65</f>
        <v>28.632</v>
      </c>
      <c r="CB66" s="132">
        <f t="shared" si="158"/>
        <v>96.2980000000001</v>
      </c>
      <c r="CC66" s="132">
        <f t="shared" si="158"/>
        <v>151.278</v>
      </c>
      <c r="CD66" s="132">
        <f t="shared" si="158"/>
        <v>337.371</v>
      </c>
      <c r="CE66" s="131">
        <f t="shared" si="158"/>
        <v>613.579</v>
      </c>
      <c r="CF66" s="132">
        <f t="shared" si="158"/>
        <v>152.248</v>
      </c>
      <c r="CG66" s="132">
        <f t="shared" si="158"/>
        <v>215.783</v>
      </c>
      <c r="CH66" s="132">
        <f t="shared" si="158"/>
        <v>211.304</v>
      </c>
      <c r="CI66" s="132">
        <f t="shared" si="158"/>
        <v>435.964</v>
      </c>
      <c r="CJ66" s="131">
        <f t="shared" si="158"/>
        <v>1015.299</v>
      </c>
      <c r="CK66" s="133">
        <f t="shared" si="158"/>
        <v>189.998</v>
      </c>
      <c r="CL66" s="133">
        <f t="shared" si="158"/>
        <v>281.002</v>
      </c>
      <c r="CM66" s="133">
        <f t="shared" si="158"/>
        <v>255.47</v>
      </c>
      <c r="CN66" s="133">
        <f t="shared" si="158"/>
        <v>562.481</v>
      </c>
      <c r="CO66" s="134">
        <f t="shared" si="158"/>
        <v>1288.951</v>
      </c>
      <c r="CP66" s="133">
        <f t="shared" si="158"/>
        <v>290.405</v>
      </c>
      <c r="CQ66" s="558">
        <f t="shared" si="158"/>
        <v>341.603</v>
      </c>
      <c r="CR66" s="133">
        <f t="shared" si="158"/>
        <v>320.839</v>
      </c>
      <c r="CS66" s="133">
        <f t="shared" ref="CS66:DI66" si="159">CS64+CS65</f>
        <v>669.468</v>
      </c>
      <c r="CT66" s="134">
        <f t="shared" si="159"/>
        <v>1622.315</v>
      </c>
      <c r="CU66" s="133">
        <f t="shared" si="159"/>
        <v>321.421</v>
      </c>
      <c r="CV66" s="133">
        <f t="shared" si="159"/>
        <v>392.922</v>
      </c>
      <c r="CW66" s="133">
        <f t="shared" si="159"/>
        <v>351.87</v>
      </c>
      <c r="CX66" s="133">
        <f t="shared" si="159"/>
        <v>748.403</v>
      </c>
      <c r="CY66" s="134">
        <f t="shared" si="159"/>
        <v>1814.616</v>
      </c>
      <c r="CZ66" s="133">
        <f t="shared" si="159"/>
        <v>314.572</v>
      </c>
      <c r="DA66" s="133">
        <f t="shared" si="159"/>
        <v>370.905</v>
      </c>
      <c r="DB66" s="133">
        <f t="shared" si="159"/>
        <v>306.835</v>
      </c>
      <c r="DC66" s="133">
        <f t="shared" si="159"/>
        <v>586.871</v>
      </c>
      <c r="DD66" s="134">
        <f t="shared" si="159"/>
        <v>1579.183</v>
      </c>
      <c r="DE66" s="133">
        <f t="shared" si="159"/>
        <v>195.048</v>
      </c>
      <c r="DF66" s="133">
        <f t="shared" si="159"/>
        <v>329.223</v>
      </c>
      <c r="DG66" s="133">
        <f t="shared" si="159"/>
        <v>108.632483150945</v>
      </c>
      <c r="DH66" s="133">
        <f t="shared" si="159"/>
        <v>446.944336754242</v>
      </c>
      <c r="DI66" s="134">
        <f t="shared" si="159"/>
        <v>1079.84781990519</v>
      </c>
      <c r="DJ66" s="133">
        <f t="shared" ref="DJ66:DN66" si="160">DJ64+DJ65</f>
        <v>169.831491949796</v>
      </c>
      <c r="DK66" s="133">
        <f t="shared" si="160"/>
        <v>201.698216880905</v>
      </c>
      <c r="DL66" s="133">
        <f t="shared" si="160"/>
        <v>93.9534273593428</v>
      </c>
      <c r="DM66" s="133">
        <f t="shared" si="160"/>
        <v>419.050109689198</v>
      </c>
      <c r="DN66" s="134">
        <f t="shared" si="160"/>
        <v>884.533245879241</v>
      </c>
      <c r="DO66" s="133">
        <f t="shared" ref="DO66:DS66" si="161">DO64+DO65</f>
        <v>162.634184786368</v>
      </c>
      <c r="DP66" s="133">
        <f t="shared" si="161"/>
        <v>194.749547374482</v>
      </c>
      <c r="DQ66" s="133">
        <f t="shared" si="161"/>
        <v>86.2814452137036</v>
      </c>
      <c r="DR66" s="133">
        <f t="shared" si="161"/>
        <v>408.732506278539</v>
      </c>
      <c r="DS66" s="134">
        <f t="shared" si="161"/>
        <v>852.397683653093</v>
      </c>
    </row>
    <row r="67" spans="1:123">
      <c r="B67" s="198"/>
      <c r="C67" s="124"/>
      <c r="H67" s="124"/>
      <c r="M67" s="124"/>
      <c r="R67" s="124"/>
      <c r="W67" s="124"/>
      <c r="AB67" s="124"/>
      <c r="AG67" s="124"/>
      <c r="AL67" s="124"/>
      <c r="AQ67" s="124"/>
      <c r="AV67" s="124"/>
      <c r="BA67" s="124"/>
      <c r="BF67" s="124"/>
      <c r="BK67" s="124"/>
      <c r="BP67" s="124"/>
      <c r="BU67" s="124"/>
      <c r="BZ67" s="124"/>
      <c r="CE67" s="124"/>
      <c r="CH67" s="172"/>
      <c r="CJ67" s="124"/>
      <c r="CK67" s="313"/>
      <c r="CL67" s="126"/>
      <c r="CM67" s="126"/>
      <c r="CN67" s="126"/>
      <c r="CO67" s="127"/>
      <c r="CP67" s="126"/>
      <c r="CQ67" s="126"/>
      <c r="CR67" s="126"/>
      <c r="CS67" s="126"/>
      <c r="CT67" s="127"/>
      <c r="CU67" s="126"/>
      <c r="CV67" s="126"/>
      <c r="CW67" s="126"/>
      <c r="CX67" s="126"/>
      <c r="CY67" s="127"/>
      <c r="CZ67" s="126"/>
      <c r="DA67" s="126"/>
      <c r="DB67" s="126"/>
      <c r="DC67" s="126"/>
      <c r="DD67" s="127"/>
      <c r="DE67" s="126"/>
      <c r="DF67" s="126"/>
      <c r="DG67" s="126"/>
      <c r="DH67" s="126"/>
      <c r="DI67" s="127"/>
      <c r="DJ67" s="126"/>
      <c r="DK67" s="126"/>
      <c r="DL67" s="126"/>
      <c r="DM67" s="126"/>
      <c r="DN67" s="524"/>
      <c r="DO67" s="126"/>
      <c r="DP67" s="126"/>
      <c r="DQ67" s="126"/>
      <c r="DR67" s="126"/>
      <c r="DS67" s="524"/>
    </row>
    <row r="68" spans="1:123">
      <c r="B68" s="198" t="s">
        <v>84</v>
      </c>
      <c r="C68" s="124"/>
      <c r="H68" s="124"/>
      <c r="M68" s="124">
        <f>M69</f>
        <v>135.033456</v>
      </c>
      <c r="R68" s="124">
        <v>135.054</v>
      </c>
      <c r="W68" s="124">
        <v>136.414</v>
      </c>
      <c r="AB68" s="124">
        <v>140.8</v>
      </c>
      <c r="AG68" s="124">
        <v>142.392</v>
      </c>
      <c r="AH68" s="125">
        <f>2*(54.026+17.508)</f>
        <v>143.068</v>
      </c>
      <c r="AI68" s="125">
        <f>108.773+34.525</f>
        <v>143.298</v>
      </c>
      <c r="AJ68" s="125">
        <f>109.359+34.125</f>
        <v>143.484</v>
      </c>
      <c r="AK68" s="125">
        <f>AL68</f>
        <v>143.547</v>
      </c>
      <c r="AL68" s="124">
        <v>143.547</v>
      </c>
      <c r="AM68" s="125">
        <f>111.517+32.402</f>
        <v>143.919</v>
      </c>
      <c r="AN68" s="125">
        <f>111.633+32.379</f>
        <v>144.012</v>
      </c>
      <c r="AO68" s="172">
        <f>111.777+32.379</f>
        <v>144.156</v>
      </c>
      <c r="AP68" s="125">
        <f>112.371+32.065</f>
        <v>144.436</v>
      </c>
      <c r="AQ68" s="124">
        <v>144.436</v>
      </c>
      <c r="AR68" s="172">
        <f>112.517+32.033</f>
        <v>144.55</v>
      </c>
      <c r="AS68" s="125">
        <f>115.006+30.033</f>
        <v>145.039</v>
      </c>
      <c r="AT68" s="172">
        <f>115.223+29.983</f>
        <v>145.206</v>
      </c>
      <c r="AU68" s="172">
        <f>115.342+29.955</f>
        <v>145.297</v>
      </c>
      <c r="AV68" s="124">
        <v>145.297</v>
      </c>
      <c r="AW68" s="125">
        <f>115.503+29.955</f>
        <v>145.458</v>
      </c>
      <c r="AX68" s="125">
        <f>114.185+29.938</f>
        <v>144.123</v>
      </c>
      <c r="AY68" s="125">
        <f>132.478+9.833</f>
        <v>142.311</v>
      </c>
      <c r="AZ68" s="125">
        <f>132.112+9.833</f>
        <v>141.945</v>
      </c>
      <c r="BA68" s="124">
        <v>141.945</v>
      </c>
      <c r="BB68" s="125">
        <f>131.978+9.833</f>
        <v>141.811</v>
      </c>
      <c r="BC68" s="125">
        <f>131.104+9.833</f>
        <v>140.937</v>
      </c>
      <c r="BD68" s="125">
        <f>129.581+9.804</f>
        <v>139.385</v>
      </c>
      <c r="BE68" s="125">
        <f>127.494121+9.803819</f>
        <v>137.29794</v>
      </c>
      <c r="BF68" s="124">
        <v>144.298</v>
      </c>
      <c r="BG68" s="125">
        <f>127.181155+9.803819</f>
        <v>136.984974</v>
      </c>
      <c r="BH68" s="125">
        <f>127.262705+9.784239</f>
        <v>137.046944</v>
      </c>
      <c r="BI68" s="125">
        <f>9.784239+127.29592</f>
        <v>137.080159</v>
      </c>
      <c r="BJ68" s="125">
        <f>127.272795+9.780927</f>
        <v>137.053722</v>
      </c>
      <c r="BK68" s="124">
        <v>137.1117435</v>
      </c>
      <c r="BL68" s="125">
        <f>127.131+9.781</f>
        <v>136.912</v>
      </c>
      <c r="BM68" s="125">
        <f>9.781+125.697</f>
        <v>135.478</v>
      </c>
      <c r="BN68" s="125">
        <f>125.592+9.781</f>
        <v>135.373</v>
      </c>
      <c r="BO68" s="172">
        <f>125.679588+9.776421</f>
        <v>135.456009</v>
      </c>
      <c r="BP68" s="124">
        <f>BO68</f>
        <v>135.456009</v>
      </c>
      <c r="BQ68" s="125">
        <f>125.914467+9.776421</f>
        <v>135.690888</v>
      </c>
      <c r="BR68" s="125">
        <f>122.594553+9.776421</f>
        <v>132.370974</v>
      </c>
      <c r="BS68" s="125">
        <f>122.627574+9.776421</f>
        <v>132.403995</v>
      </c>
      <c r="BT68" s="172">
        <f>123.2814+7.669716</f>
        <v>130.951116</v>
      </c>
      <c r="BU68" s="124">
        <f>BT68</f>
        <v>130.951116</v>
      </c>
      <c r="BV68" s="172">
        <f>122.894703+7.38086</f>
        <v>130.275563</v>
      </c>
      <c r="BW68" s="172">
        <f>123.140731+7.134901</f>
        <v>130.275632</v>
      </c>
      <c r="BX68" s="172">
        <f>123.334595+6.960312</f>
        <v>130.294907</v>
      </c>
      <c r="BY68" s="125">
        <f>124.115144+6.049939</f>
        <v>130.165083</v>
      </c>
      <c r="BZ68" s="124">
        <f>BZ381</f>
        <v>130.165083</v>
      </c>
      <c r="CA68" s="172">
        <f>124.814503+5.392512</f>
        <v>130.207015</v>
      </c>
      <c r="CB68" s="125">
        <f>124.920793+5.392512</f>
        <v>130.313305</v>
      </c>
      <c r="CC68" s="125">
        <f>125.122533+5.215512</f>
        <v>130.338045</v>
      </c>
      <c r="CD68" s="172">
        <f>125.164616+5.203012</f>
        <v>130.367628</v>
      </c>
      <c r="CE68" s="124">
        <f>CE381</f>
        <v>130.367628</v>
      </c>
      <c r="CF68" s="172">
        <f>124.952259+5.203012</f>
        <v>130.155271</v>
      </c>
      <c r="CG68" s="172">
        <f>124.644+5.203012</f>
        <v>129.847012</v>
      </c>
      <c r="CH68" s="172">
        <f>124.135+5.203012</f>
        <v>129.338012</v>
      </c>
      <c r="CI68" s="125">
        <f>123.297+5.203012</f>
        <v>128.500012</v>
      </c>
      <c r="CJ68" s="124">
        <f>CJ381</f>
        <v>128.500012</v>
      </c>
      <c r="CK68" s="126">
        <f>122.439795+5.203012</f>
        <v>127.642807</v>
      </c>
      <c r="CL68" s="126">
        <f>122.303352+5.203012</f>
        <v>127.506364</v>
      </c>
      <c r="CM68" s="128">
        <f>5.203+122.318</f>
        <v>127.521</v>
      </c>
      <c r="CN68" s="126">
        <f>122.04868+5.115961</f>
        <v>127.164641</v>
      </c>
      <c r="CO68" s="127">
        <f>CO381</f>
        <v>127.164641</v>
      </c>
      <c r="CP68" s="128">
        <f>122.099+5.116</f>
        <v>127.215</v>
      </c>
      <c r="CQ68" s="126">
        <f>121.613+5.116</f>
        <v>126.729</v>
      </c>
      <c r="CR68" s="128">
        <f>121.122+5.116</f>
        <v>126.238</v>
      </c>
      <c r="CS68" s="126">
        <f>121.106+5.116</f>
        <v>126.222</v>
      </c>
      <c r="CT68" s="127">
        <f>CT381</f>
        <v>126.222</v>
      </c>
      <c r="CU68" s="126">
        <f>120.47+5.116</f>
        <v>125.586</v>
      </c>
      <c r="CV68" s="126">
        <f>118.61+5.116</f>
        <v>123.726</v>
      </c>
      <c r="CW68" s="128">
        <f>117.046+5.116</f>
        <v>122.162</v>
      </c>
      <c r="CX68" s="128">
        <f>116.166+5.116</f>
        <v>121.282</v>
      </c>
      <c r="CY68" s="127">
        <f>CY381</f>
        <v>121.282</v>
      </c>
      <c r="CZ68" s="126">
        <f>114.909+5.116</f>
        <v>120.025</v>
      </c>
      <c r="DA68" s="126">
        <f>5.116+113.828</f>
        <v>118.944</v>
      </c>
      <c r="DB68" s="126">
        <f>5.116+112.789</f>
        <v>117.905</v>
      </c>
      <c r="DC68" s="126">
        <f>110.482671+5.115961</f>
        <v>115.598632</v>
      </c>
      <c r="DD68" s="127">
        <f t="shared" ref="DD68:DI69" si="162">DD381</f>
        <v>115.598632</v>
      </c>
      <c r="DE68" s="126">
        <f>5.116+109.308</f>
        <v>114.424</v>
      </c>
      <c r="DF68" s="128">
        <f>106.566+5.116</f>
        <v>111.682</v>
      </c>
      <c r="DG68" s="126">
        <f t="shared" si="162"/>
        <v>109.207116319533</v>
      </c>
      <c r="DH68" s="126">
        <f t="shared" si="162"/>
        <v>106.957222064563</v>
      </c>
      <c r="DI68" s="127">
        <f t="shared" si="162"/>
        <v>106.957222064563</v>
      </c>
      <c r="DJ68" s="126">
        <f t="shared" ref="DJ68:DN68" si="163">DJ381</f>
        <v>105.754070056558</v>
      </c>
      <c r="DK68" s="126">
        <f t="shared" si="163"/>
        <v>104.574509264396</v>
      </c>
      <c r="DL68" s="126">
        <f t="shared" si="163"/>
        <v>103.418077115217</v>
      </c>
      <c r="DM68" s="126">
        <f t="shared" si="163"/>
        <v>102.284320106218</v>
      </c>
      <c r="DN68" s="127">
        <f t="shared" si="163"/>
        <v>102.284320106218</v>
      </c>
      <c r="DO68" s="126">
        <f t="shared" ref="DO68:DS68" si="164">DO381</f>
        <v>101.172793626808</v>
      </c>
      <c r="DP68" s="126">
        <f t="shared" si="164"/>
        <v>100.083061784249</v>
      </c>
      <c r="DQ68" s="126">
        <f t="shared" si="164"/>
        <v>99.0146972327203</v>
      </c>
      <c r="DR68" s="126">
        <f t="shared" si="164"/>
        <v>97.9672810057314</v>
      </c>
      <c r="DS68" s="127">
        <f t="shared" si="164"/>
        <v>97.9672810057314</v>
      </c>
    </row>
    <row r="69" spans="1:123">
      <c r="B69" s="198" t="s">
        <v>85</v>
      </c>
      <c r="C69" s="124">
        <v>132.86</v>
      </c>
      <c r="H69" s="124">
        <v>132.86</v>
      </c>
      <c r="M69" s="124">
        <v>135.033456</v>
      </c>
      <c r="R69" s="124">
        <v>132.86</v>
      </c>
      <c r="W69" s="124">
        <v>137.5</v>
      </c>
      <c r="AB69" s="124">
        <v>137.5</v>
      </c>
      <c r="AG69" s="124">
        <v>141.72</v>
      </c>
      <c r="AH69" s="125">
        <v>142.76</v>
      </c>
      <c r="AI69" s="125">
        <v>143.163</v>
      </c>
      <c r="AJ69" s="125">
        <v>143.37</v>
      </c>
      <c r="AK69" s="125">
        <v>143.196</v>
      </c>
      <c r="AL69" s="124">
        <v>143.196</v>
      </c>
      <c r="AM69" s="125">
        <v>143.678</v>
      </c>
      <c r="AN69" s="125">
        <v>143.972</v>
      </c>
      <c r="AO69" s="125">
        <v>144.057</v>
      </c>
      <c r="AP69" s="125">
        <v>144.285</v>
      </c>
      <c r="AQ69" s="124">
        <v>143.998</v>
      </c>
      <c r="AR69" s="172">
        <v>144.482</v>
      </c>
      <c r="AS69" s="125">
        <v>144.818</v>
      </c>
      <c r="AT69" s="172">
        <v>145.12</v>
      </c>
      <c r="AU69" s="125">
        <v>145.235</v>
      </c>
      <c r="AV69" s="124">
        <v>144.91375</v>
      </c>
      <c r="AW69" s="125">
        <v>145.383</v>
      </c>
      <c r="AX69" s="125">
        <v>145.18</v>
      </c>
      <c r="AY69" s="125">
        <v>143.18</v>
      </c>
      <c r="AZ69" s="125">
        <v>141.999</v>
      </c>
      <c r="BA69" s="124">
        <v>143.935</v>
      </c>
      <c r="BB69" s="125">
        <v>141.967</v>
      </c>
      <c r="BC69" s="125">
        <v>141.372</v>
      </c>
      <c r="BD69" s="125">
        <v>140.282</v>
      </c>
      <c r="BE69" s="125">
        <v>138.076</v>
      </c>
      <c r="BF69" s="124">
        <v>140.42425</v>
      </c>
      <c r="BG69" s="125">
        <v>137.263</v>
      </c>
      <c r="BH69" s="125">
        <v>136.987</v>
      </c>
      <c r="BI69" s="125">
        <v>137.033</v>
      </c>
      <c r="BJ69" s="125">
        <v>137.059</v>
      </c>
      <c r="BK69" s="124">
        <v>137.0855</v>
      </c>
      <c r="BL69" s="125">
        <v>137.037</v>
      </c>
      <c r="BM69" s="125">
        <v>136.171</v>
      </c>
      <c r="BN69" s="125">
        <v>135.364</v>
      </c>
      <c r="BO69" s="125">
        <v>135.381</v>
      </c>
      <c r="BP69" s="124">
        <v>135.988</v>
      </c>
      <c r="BQ69" s="125">
        <v>135.502</v>
      </c>
      <c r="BR69" s="125">
        <v>133.986</v>
      </c>
      <c r="BS69" s="125">
        <v>132.406</v>
      </c>
      <c r="BT69" s="125">
        <v>131.878</v>
      </c>
      <c r="BU69" s="124">
        <v>133.413</v>
      </c>
      <c r="BV69" s="125">
        <v>130.694</v>
      </c>
      <c r="BW69" s="125">
        <v>130.285</v>
      </c>
      <c r="BX69" s="125">
        <v>130.282</v>
      </c>
      <c r="BY69" s="125">
        <v>130.311</v>
      </c>
      <c r="BZ69" s="124">
        <f>BZ382</f>
        <v>130.393</v>
      </c>
      <c r="CA69" s="125">
        <v>130.251</v>
      </c>
      <c r="CB69" s="125">
        <v>130.245</v>
      </c>
      <c r="CC69" s="125">
        <v>130.318</v>
      </c>
      <c r="CD69" s="125">
        <v>130.34</v>
      </c>
      <c r="CE69" s="124">
        <f>CE382</f>
        <v>130.2885</v>
      </c>
      <c r="CF69" s="125">
        <v>130.358</v>
      </c>
      <c r="CG69" s="125">
        <v>130.007</v>
      </c>
      <c r="CH69" s="172">
        <v>129.684</v>
      </c>
      <c r="CI69" s="125">
        <v>129.015</v>
      </c>
      <c r="CJ69" s="124">
        <f>CJ382</f>
        <v>129.766</v>
      </c>
      <c r="CK69" s="126">
        <v>128.077</v>
      </c>
      <c r="CL69" s="126">
        <v>127.619</v>
      </c>
      <c r="CM69" s="126">
        <v>127.511</v>
      </c>
      <c r="CN69" s="128">
        <v>127.456</v>
      </c>
      <c r="CO69" s="127">
        <f>CO382</f>
        <v>127.66575</v>
      </c>
      <c r="CP69" s="128">
        <v>127.246</v>
      </c>
      <c r="CQ69" s="126">
        <v>126.969</v>
      </c>
      <c r="CR69" s="128">
        <v>126.46</v>
      </c>
      <c r="CS69" s="126">
        <v>126.228</v>
      </c>
      <c r="CT69" s="127">
        <f>CT382</f>
        <v>126.72575</v>
      </c>
      <c r="CU69" s="126">
        <v>125.989</v>
      </c>
      <c r="CV69" s="126">
        <v>124.721</v>
      </c>
      <c r="CW69" s="128">
        <v>122.697</v>
      </c>
      <c r="CX69" s="126">
        <v>121.683</v>
      </c>
      <c r="CY69" s="127">
        <f>CY382</f>
        <v>123.7725</v>
      </c>
      <c r="CZ69" s="126">
        <v>120.632</v>
      </c>
      <c r="DA69" s="126">
        <v>119.6</v>
      </c>
      <c r="DB69" s="126">
        <v>118.535</v>
      </c>
      <c r="DC69" s="126">
        <v>117.155</v>
      </c>
      <c r="DD69" s="127">
        <f t="shared" si="162"/>
        <v>118.9805</v>
      </c>
      <c r="DE69" s="126">
        <v>115.414</v>
      </c>
      <c r="DF69" s="128">
        <v>112.898</v>
      </c>
      <c r="DG69" s="126">
        <f t="shared" si="162"/>
        <v>110.444558159767</v>
      </c>
      <c r="DH69" s="126">
        <f t="shared" si="162"/>
        <v>108.082169192048</v>
      </c>
      <c r="DI69" s="127">
        <f t="shared" si="162"/>
        <v>111.709681837954</v>
      </c>
      <c r="DJ69" s="126">
        <f t="shared" ref="DJ69:DN69" si="165">DJ382</f>
        <v>106.35564606056</v>
      </c>
      <c r="DK69" s="126">
        <f t="shared" si="165"/>
        <v>105.164289660477</v>
      </c>
      <c r="DL69" s="126">
        <f t="shared" si="165"/>
        <v>103.996293189806</v>
      </c>
      <c r="DM69" s="126">
        <f t="shared" si="165"/>
        <v>102.851198610718</v>
      </c>
      <c r="DN69" s="127">
        <f t="shared" si="165"/>
        <v>104.59185688039</v>
      </c>
      <c r="DO69" s="126">
        <f t="shared" ref="DO69:DS69" si="166">DO382</f>
        <v>101.728556866513</v>
      </c>
      <c r="DP69" s="126">
        <f t="shared" si="166"/>
        <v>100.627927705528</v>
      </c>
      <c r="DQ69" s="126">
        <f t="shared" si="166"/>
        <v>99.5488795084846</v>
      </c>
      <c r="DR69" s="126">
        <f t="shared" si="166"/>
        <v>98.4909891192258</v>
      </c>
      <c r="DS69" s="127">
        <f t="shared" si="166"/>
        <v>100.099088299938</v>
      </c>
    </row>
    <row r="70" spans="1:123">
      <c r="B70" s="198" t="s">
        <v>86</v>
      </c>
      <c r="C70" s="124">
        <v>138.594</v>
      </c>
      <c r="H70" s="124">
        <v>138.594</v>
      </c>
      <c r="M70" s="124">
        <v>143.979012</v>
      </c>
      <c r="R70" s="124">
        <v>138.594</v>
      </c>
      <c r="W70" s="124">
        <v>142</v>
      </c>
      <c r="AB70" s="124">
        <v>142</v>
      </c>
      <c r="AG70" s="124">
        <v>143.858</v>
      </c>
      <c r="AH70" s="125">
        <v>144.91</v>
      </c>
      <c r="AI70" s="125">
        <v>145.228</v>
      </c>
      <c r="AJ70" s="125">
        <v>145.349</v>
      </c>
      <c r="AK70" s="125">
        <v>145.278</v>
      </c>
      <c r="AL70" s="124">
        <v>145.278</v>
      </c>
      <c r="AM70" s="125">
        <v>145.637</v>
      </c>
      <c r="AN70" s="125">
        <v>145.678</v>
      </c>
      <c r="AO70" s="125">
        <v>145.748</v>
      </c>
      <c r="AP70" s="125">
        <v>145.846</v>
      </c>
      <c r="AQ70" s="124">
        <v>145.72725</v>
      </c>
      <c r="AR70" s="125">
        <v>145.849</v>
      </c>
      <c r="AS70" s="125">
        <v>145.916</v>
      </c>
      <c r="AT70" s="172">
        <v>146.014</v>
      </c>
      <c r="AU70" s="125">
        <v>146.035</v>
      </c>
      <c r="AV70" s="124">
        <v>145.9535</v>
      </c>
      <c r="AW70" s="125">
        <v>145.861</v>
      </c>
      <c r="AX70" s="125">
        <v>145.544</v>
      </c>
      <c r="AY70" s="125">
        <v>143.441</v>
      </c>
      <c r="AZ70" s="125">
        <v>142.346</v>
      </c>
      <c r="BA70" s="124">
        <v>144.298</v>
      </c>
      <c r="BB70" s="125">
        <v>142.337</v>
      </c>
      <c r="BC70" s="125">
        <v>141.644</v>
      </c>
      <c r="BD70" s="125">
        <v>140.457</v>
      </c>
      <c r="BE70" s="125">
        <v>138.24</v>
      </c>
      <c r="BF70" s="124">
        <v>140.6695</v>
      </c>
      <c r="BG70" s="125">
        <v>137.495</v>
      </c>
      <c r="BH70" s="125">
        <v>137.229</v>
      </c>
      <c r="BI70" s="125">
        <v>137.237</v>
      </c>
      <c r="BJ70" s="125">
        <v>137.245</v>
      </c>
      <c r="BK70" s="124">
        <v>137.30175</v>
      </c>
      <c r="BL70" s="125">
        <v>137.2</v>
      </c>
      <c r="BM70" s="125">
        <v>136.303</v>
      </c>
      <c r="BN70" s="125">
        <v>135.578</v>
      </c>
      <c r="BO70" s="125">
        <v>135.723</v>
      </c>
      <c r="BP70" s="124">
        <v>136.198</v>
      </c>
      <c r="BQ70" s="125">
        <v>135.931</v>
      </c>
      <c r="BR70" s="125">
        <v>134.53</v>
      </c>
      <c r="BS70" s="125">
        <v>133.077</v>
      </c>
      <c r="BT70" s="125">
        <v>132.465</v>
      </c>
      <c r="BU70" s="124">
        <v>133.971</v>
      </c>
      <c r="BV70" s="125">
        <v>131.337</v>
      </c>
      <c r="BW70" s="125">
        <v>130.783</v>
      </c>
      <c r="BX70" s="125">
        <v>130.805</v>
      </c>
      <c r="BY70" s="125">
        <v>130.896</v>
      </c>
      <c r="BZ70" s="124">
        <f>BZ384</f>
        <v>130.95525</v>
      </c>
      <c r="CA70" s="125">
        <v>130.803</v>
      </c>
      <c r="CB70" s="125">
        <v>130.799</v>
      </c>
      <c r="CC70" s="125">
        <v>130.924</v>
      </c>
      <c r="CD70" s="125">
        <v>130.956</v>
      </c>
      <c r="CE70" s="124">
        <f>CE384</f>
        <v>130.8705</v>
      </c>
      <c r="CF70" s="125">
        <v>130.984</v>
      </c>
      <c r="CG70" s="125">
        <v>130.49</v>
      </c>
      <c r="CH70" s="172">
        <v>130.189</v>
      </c>
      <c r="CI70" s="125">
        <v>129.508</v>
      </c>
      <c r="CJ70" s="124">
        <f>CJ384</f>
        <v>130.29275</v>
      </c>
      <c r="CK70" s="126">
        <v>128.541</v>
      </c>
      <c r="CL70" s="126">
        <v>127.906</v>
      </c>
      <c r="CM70" s="126">
        <v>127.82</v>
      </c>
      <c r="CN70" s="128">
        <v>127.802</v>
      </c>
      <c r="CO70" s="127">
        <f>CO384</f>
        <v>128.01725</v>
      </c>
      <c r="CP70" s="128">
        <v>127.621</v>
      </c>
      <c r="CQ70" s="126">
        <v>127.263</v>
      </c>
      <c r="CR70" s="128">
        <v>126.77</v>
      </c>
      <c r="CS70" s="126">
        <v>126.584</v>
      </c>
      <c r="CT70" s="127">
        <f>CT384</f>
        <v>127.0595</v>
      </c>
      <c r="CU70" s="126">
        <v>126.336</v>
      </c>
      <c r="CV70" s="126">
        <v>124.857</v>
      </c>
      <c r="CW70" s="128">
        <v>122.803</v>
      </c>
      <c r="CX70" s="126">
        <v>121.895</v>
      </c>
      <c r="CY70" s="127">
        <f>CY384</f>
        <v>123.97275</v>
      </c>
      <c r="CZ70" s="126">
        <v>120.843</v>
      </c>
      <c r="DA70" s="126">
        <v>119.68</v>
      </c>
      <c r="DB70" s="126">
        <v>118.552</v>
      </c>
      <c r="DC70" s="126">
        <v>117.196</v>
      </c>
      <c r="DD70" s="127">
        <f t="shared" ref="DD70:DI70" si="167">DD384</f>
        <v>119.06775</v>
      </c>
      <c r="DE70" s="126">
        <v>115.482</v>
      </c>
      <c r="DF70" s="128">
        <v>112.919</v>
      </c>
      <c r="DG70" s="126">
        <f t="shared" si="167"/>
        <v>110.944558159767</v>
      </c>
      <c r="DH70" s="126">
        <f t="shared" si="167"/>
        <v>108.582169192048</v>
      </c>
      <c r="DI70" s="127">
        <f t="shared" si="167"/>
        <v>111.981931837954</v>
      </c>
      <c r="DJ70" s="126">
        <f t="shared" ref="DJ70:DN70" si="168">DJ384</f>
        <v>107.35564606056</v>
      </c>
      <c r="DK70" s="126">
        <f t="shared" si="168"/>
        <v>106.164289660477</v>
      </c>
      <c r="DL70" s="126">
        <f t="shared" si="168"/>
        <v>104.996293189806</v>
      </c>
      <c r="DM70" s="126">
        <f t="shared" si="168"/>
        <v>103.851198610718</v>
      </c>
      <c r="DN70" s="127">
        <f t="shared" si="168"/>
        <v>105.59185688039</v>
      </c>
      <c r="DO70" s="126">
        <f t="shared" ref="DO70:DS70" si="169">DO384</f>
        <v>102.728556866513</v>
      </c>
      <c r="DP70" s="126">
        <f t="shared" si="169"/>
        <v>101.627927705528</v>
      </c>
      <c r="DQ70" s="126">
        <f t="shared" si="169"/>
        <v>100.548879508485</v>
      </c>
      <c r="DR70" s="126">
        <f t="shared" si="169"/>
        <v>99.4909891192258</v>
      </c>
      <c r="DS70" s="127">
        <f t="shared" si="169"/>
        <v>101.099088299938</v>
      </c>
    </row>
    <row r="71" spans="1:123">
      <c r="B71" s="198"/>
      <c r="C71" s="170"/>
      <c r="D71" s="169"/>
      <c r="E71" s="169"/>
      <c r="F71" s="169"/>
      <c r="G71" s="169"/>
      <c r="H71" s="170"/>
      <c r="I71" s="169"/>
      <c r="J71" s="169"/>
      <c r="K71" s="169"/>
      <c r="L71" s="169"/>
      <c r="M71" s="170"/>
      <c r="N71" s="169"/>
      <c r="O71" s="169"/>
      <c r="P71" s="169"/>
      <c r="Q71" s="169"/>
      <c r="R71" s="170"/>
      <c r="S71" s="169"/>
      <c r="T71" s="169"/>
      <c r="U71" s="169"/>
      <c r="V71" s="169"/>
      <c r="W71" s="170"/>
      <c r="X71" s="169"/>
      <c r="Y71" s="169"/>
      <c r="Z71" s="169"/>
      <c r="AA71" s="169"/>
      <c r="AB71" s="170"/>
      <c r="AC71" s="169"/>
      <c r="AD71" s="169"/>
      <c r="AE71" s="169"/>
      <c r="AF71" s="169"/>
      <c r="AG71" s="170"/>
      <c r="AH71" s="169"/>
      <c r="AI71" s="169"/>
      <c r="AJ71" s="169"/>
      <c r="AK71" s="169"/>
      <c r="AL71" s="170"/>
      <c r="AM71" s="169"/>
      <c r="AN71" s="169"/>
      <c r="AO71" s="169"/>
      <c r="AP71" s="169"/>
      <c r="AQ71" s="170"/>
      <c r="AV71" s="170"/>
      <c r="BA71" s="170"/>
      <c r="BF71" s="170"/>
      <c r="BK71" s="170"/>
      <c r="BP71" s="170"/>
      <c r="BU71" s="170"/>
      <c r="BZ71" s="170"/>
      <c r="CB71" s="559"/>
      <c r="CE71" s="170"/>
      <c r="CH71" s="514"/>
      <c r="CJ71" s="170"/>
      <c r="CL71" s="515"/>
      <c r="CN71" s="209"/>
      <c r="CO71" s="170"/>
      <c r="CS71" s="209"/>
      <c r="CT71" s="170"/>
      <c r="CY71" s="170"/>
      <c r="DB71" s="514"/>
      <c r="DC71" s="514"/>
      <c r="DD71" s="560"/>
      <c r="DF71" s="514"/>
      <c r="DG71" s="514"/>
      <c r="DH71" s="514"/>
      <c r="DI71" s="560"/>
      <c r="DJ71" s="514"/>
      <c r="DK71" s="514"/>
      <c r="DL71" s="514"/>
      <c r="DM71" s="514"/>
      <c r="DN71" s="560"/>
      <c r="DO71" s="514"/>
      <c r="DP71" s="514"/>
      <c r="DQ71" s="514"/>
      <c r="DR71" s="514"/>
      <c r="DS71" s="560"/>
    </row>
    <row r="72" spans="1:123">
      <c r="A72" s="337"/>
      <c r="B72" s="561" t="s">
        <v>87</v>
      </c>
      <c r="C72" s="562">
        <f>C66/C70</f>
        <v>0.0680021357345916</v>
      </c>
      <c r="D72" s="563"/>
      <c r="E72" s="563"/>
      <c r="F72" s="563"/>
      <c r="G72" s="563"/>
      <c r="H72" s="562">
        <f>H66/H70</f>
        <v>0.110537880427724</v>
      </c>
      <c r="I72" s="563"/>
      <c r="J72" s="563"/>
      <c r="K72" s="563"/>
      <c r="L72" s="563"/>
      <c r="M72" s="562">
        <f>M66/M70</f>
        <v>0.0765027544431269</v>
      </c>
      <c r="N72" s="563"/>
      <c r="O72" s="563"/>
      <c r="P72" s="563"/>
      <c r="Q72" s="563"/>
      <c r="R72" s="562">
        <f>R66/R70</f>
        <v>0.222538053595393</v>
      </c>
      <c r="S72" s="563"/>
      <c r="T72" s="563"/>
      <c r="U72" s="563"/>
      <c r="V72" s="563"/>
      <c r="W72" s="562">
        <f>W66/W70</f>
        <v>0.296631647887324</v>
      </c>
      <c r="X72" s="563"/>
      <c r="Y72" s="563"/>
      <c r="Z72" s="563"/>
      <c r="AA72" s="563"/>
      <c r="AB72" s="562">
        <f>AB66/AB70</f>
        <v>0.411376450704226</v>
      </c>
      <c r="AC72" s="563"/>
      <c r="AD72" s="563"/>
      <c r="AE72" s="563"/>
      <c r="AF72" s="563"/>
      <c r="AG72" s="562">
        <f t="shared" ref="AG72:AU72" si="170">AG66/AG70</f>
        <v>0.846994953356782</v>
      </c>
      <c r="AH72" s="563">
        <f t="shared" si="170"/>
        <v>0.230294665654544</v>
      </c>
      <c r="AI72" s="563">
        <f t="shared" si="170"/>
        <v>0.264267221197014</v>
      </c>
      <c r="AJ72" s="563">
        <f t="shared" si="170"/>
        <v>0.266902421069288</v>
      </c>
      <c r="AK72" s="563">
        <f t="shared" si="170"/>
        <v>0.506050468756453</v>
      </c>
      <c r="AL72" s="562">
        <f t="shared" si="170"/>
        <v>1.26697091094316</v>
      </c>
      <c r="AM72" s="563">
        <f t="shared" si="170"/>
        <v>0.320268887713974</v>
      </c>
      <c r="AN72" s="563">
        <f t="shared" si="170"/>
        <v>0.392797814357693</v>
      </c>
      <c r="AO72" s="563">
        <f t="shared" si="170"/>
        <v>0.393254109833411</v>
      </c>
      <c r="AP72" s="563">
        <f t="shared" si="170"/>
        <v>0.749934862800488</v>
      </c>
      <c r="AQ72" s="562">
        <f t="shared" si="170"/>
        <v>1.85659168069115</v>
      </c>
      <c r="AR72" s="563">
        <f t="shared" si="170"/>
        <v>0.32416403266392</v>
      </c>
      <c r="AS72" s="563">
        <f t="shared" si="170"/>
        <v>0.386969215164889</v>
      </c>
      <c r="AT72" s="563">
        <f t="shared" si="170"/>
        <v>0.452771652033366</v>
      </c>
      <c r="AU72" s="563">
        <f t="shared" si="170"/>
        <v>0.751135001883111</v>
      </c>
      <c r="AV72" s="562">
        <f>AV64/AV70</f>
        <v>1.9153154943184</v>
      </c>
      <c r="AW72" s="563">
        <f>AW66/AW70</f>
        <v>0.361172623250903</v>
      </c>
      <c r="AX72" s="563">
        <f>AX66/AX70</f>
        <v>0.335067058758863</v>
      </c>
      <c r="AY72" s="563">
        <f>AY66/AY70</f>
        <v>0.421434596802866</v>
      </c>
      <c r="AZ72" s="563">
        <f>AZ66/AZ70</f>
        <v>0.778757393955573</v>
      </c>
      <c r="BA72" s="562">
        <f>BA64/BA70</f>
        <v>1.89006777640716</v>
      </c>
      <c r="BB72" s="563">
        <f>BB66/BB70</f>
        <v>0.335892986363349</v>
      </c>
      <c r="BC72" s="563">
        <f>BC66/BC70</f>
        <v>0.336533845415267</v>
      </c>
      <c r="BD72" s="563">
        <f>BD66/BD70</f>
        <v>0.349188719679332</v>
      </c>
      <c r="BE72" s="563">
        <f>BE66/BE70</f>
        <v>0.849363425925926</v>
      </c>
      <c r="BF72" s="562">
        <f>BF64/BF70</f>
        <v>1.86209519476504</v>
      </c>
      <c r="BG72" s="563">
        <f>BG66/BG70</f>
        <v>0.297727190079639</v>
      </c>
      <c r="BH72" s="563">
        <f>BH66/BH70</f>
        <v>0.379110829343652</v>
      </c>
      <c r="BI72" s="563">
        <f>BI66/BI70</f>
        <v>0.469880571565978</v>
      </c>
      <c r="BJ72" s="563">
        <f>BJ66/BJ70</f>
        <v>0.998617683704323</v>
      </c>
      <c r="BK72" s="562">
        <f>BK64/BK70</f>
        <v>2.14492010480566</v>
      </c>
      <c r="BL72" s="563">
        <f>BL66/BL70</f>
        <v>0.322973760932945</v>
      </c>
      <c r="BM72" s="563">
        <f>BM66/BM70</f>
        <v>0.387012758339876</v>
      </c>
      <c r="BN72" s="563">
        <f>BN66/BN70</f>
        <v>0.555635870126423</v>
      </c>
      <c r="BO72" s="563">
        <f>BO66/BO70</f>
        <v>1.32665797248808</v>
      </c>
      <c r="BP72" s="562">
        <f>BP64/BP70</f>
        <v>2.58768117006124</v>
      </c>
      <c r="BQ72" s="563">
        <f>BQ66/BQ70</f>
        <v>0.552876091546446</v>
      </c>
      <c r="BR72" s="563">
        <f>BR66/BR70</f>
        <v>0.71188582472311</v>
      </c>
      <c r="BS72" s="563">
        <f>BS66/BS70</f>
        <v>0.748258527018192</v>
      </c>
      <c r="BT72" s="563">
        <f>BT66/BT70</f>
        <v>1.84561959762956</v>
      </c>
      <c r="BU72" s="562">
        <f>BU64/BU70</f>
        <v>3.84395876719589</v>
      </c>
      <c r="BV72" s="563">
        <f>BV66/BV70</f>
        <v>0.735535302313895</v>
      </c>
      <c r="BW72" s="563">
        <f>BW66/BW70</f>
        <v>0.955705252211679</v>
      </c>
      <c r="BX72" s="563">
        <f>BX66/BX70</f>
        <v>0.963128320782845</v>
      </c>
      <c r="BY72" s="563">
        <f>BY66/BY70</f>
        <v>2.27677698325388</v>
      </c>
      <c r="BZ72" s="562">
        <f>BZ64/BZ70</f>
        <v>4.92989780860255</v>
      </c>
      <c r="CA72" s="563">
        <f>CA66/CA70</f>
        <v>0.218894062062797</v>
      </c>
      <c r="CB72" s="563">
        <f>CB66/CB70</f>
        <v>0.736228870251302</v>
      </c>
      <c r="CC72" s="563">
        <f>CC66/CC70</f>
        <v>1.15546423879503</v>
      </c>
      <c r="CD72" s="563">
        <f>CD66/CD70</f>
        <v>2.57621643910932</v>
      </c>
      <c r="CE72" s="562">
        <f>CE64/CE70</f>
        <v>4.68844391975273</v>
      </c>
      <c r="CF72" s="563">
        <f>CF66/CF70</f>
        <v>1.16234043852684</v>
      </c>
      <c r="CG72" s="563">
        <f>CG66/CG70</f>
        <v>1.65363629396889</v>
      </c>
      <c r="CH72" s="563">
        <f>CH66/CH70</f>
        <v>1.62305571131202</v>
      </c>
      <c r="CI72" s="563">
        <f>CI66/CI70</f>
        <v>3.36630941717886</v>
      </c>
      <c r="CJ72" s="562">
        <f>CJ64/CJ70</f>
        <v>7.79244432249684</v>
      </c>
      <c r="CK72" s="563">
        <f>CK66/CK70</f>
        <v>1.47811204207218</v>
      </c>
      <c r="CL72" s="563">
        <f>CL66/CL70</f>
        <v>2.19694150391694</v>
      </c>
      <c r="CM72" s="563">
        <f>CM66/CM70</f>
        <v>1.9986700046941</v>
      </c>
      <c r="CN72" s="563">
        <f>CN66/CN70</f>
        <v>4.40119090468068</v>
      </c>
      <c r="CO72" s="562">
        <f>CO64/CO70</f>
        <v>10.0685727899951</v>
      </c>
      <c r="CP72" s="563">
        <f>CP66/CP70</f>
        <v>2.27552675500113</v>
      </c>
      <c r="CQ72" s="563">
        <f>CQ66/CQ70</f>
        <v>2.68422872319527</v>
      </c>
      <c r="CR72" s="563">
        <f>CR66/CR70</f>
        <v>2.53087481265283</v>
      </c>
      <c r="CS72" s="563">
        <f>CS66/CS70</f>
        <v>5.28872527333628</v>
      </c>
      <c r="CT72" s="562">
        <f>CT64/CT70</f>
        <v>12.7681519288207</v>
      </c>
      <c r="CU72" s="563">
        <f>CU66/CU70</f>
        <v>2.5441758485309</v>
      </c>
      <c r="CV72" s="563">
        <f>CV66/CV70</f>
        <v>3.14697614070497</v>
      </c>
      <c r="CW72" s="563">
        <f>CW66/CW70</f>
        <v>2.86532087978307</v>
      </c>
      <c r="CX72" s="563">
        <f>CX66/CX70</f>
        <v>6.13973501784322</v>
      </c>
      <c r="CY72" s="562">
        <f>CY64/CY70</f>
        <v>14.6372166464001</v>
      </c>
      <c r="CZ72" s="563">
        <f>CZ66/CZ70</f>
        <v>2.60314623106013</v>
      </c>
      <c r="DA72" s="563">
        <f>DA66/DA70</f>
        <v>3.09913937165775</v>
      </c>
      <c r="DB72" s="563">
        <f>DB66/DB70</f>
        <v>2.58818914906539</v>
      </c>
      <c r="DC72" s="563">
        <f>DC66/DC70</f>
        <v>5.00760264855456</v>
      </c>
      <c r="DD72" s="562">
        <f>DD64/DD70</f>
        <v>13.2628944445494</v>
      </c>
      <c r="DE72" s="563">
        <f>DE66/DE70</f>
        <v>1.68899049202473</v>
      </c>
      <c r="DF72" s="563">
        <f>DF66/DF70</f>
        <v>2.91556779638502</v>
      </c>
      <c r="DG72" s="563">
        <f>DG66/DG70</f>
        <v>0.979160086378532</v>
      </c>
      <c r="DH72" s="563">
        <f>DH66/DH70</f>
        <v>4.11618537444889</v>
      </c>
      <c r="DI72" s="562">
        <f>DI64/DI70</f>
        <v>9.64305403721566</v>
      </c>
      <c r="DJ72" s="563">
        <f>DJ66/DJ70</f>
        <v>1.58195212065505</v>
      </c>
      <c r="DK72" s="563">
        <f>DK66/DK70</f>
        <v>1.89986875554817</v>
      </c>
      <c r="DL72" s="563">
        <f>DL66/DL70</f>
        <v>0.894826136285585</v>
      </c>
      <c r="DM72" s="563">
        <f>DM66/DM70</f>
        <v>4.03510133051032</v>
      </c>
      <c r="DN72" s="562">
        <f>DN64/DN70</f>
        <v>8.37690776554106</v>
      </c>
      <c r="DO72" s="563">
        <f>DO66/DO70</f>
        <v>1.58314484060841</v>
      </c>
      <c r="DP72" s="563">
        <f>DP66/DP70</f>
        <v>1.91629950321114</v>
      </c>
      <c r="DQ72" s="563">
        <f>DQ66/DQ70</f>
        <v>0.858104492416775</v>
      </c>
      <c r="DR72" s="563">
        <f>DR66/DR70</f>
        <v>4.1082364332385</v>
      </c>
      <c r="DS72" s="562">
        <f>DS64/DS70</f>
        <v>8.43130930245605</v>
      </c>
    </row>
    <row r="73" s="92" customFormat="1" spans="1:123">
      <c r="A73" s="126"/>
      <c r="B73" s="564" t="s">
        <v>88</v>
      </c>
      <c r="C73" s="565">
        <f>-10.837688/C70</f>
        <v>-0.0781973822820613</v>
      </c>
      <c r="D73" s="566"/>
      <c r="E73" s="566"/>
      <c r="F73" s="566"/>
      <c r="G73" s="566"/>
      <c r="H73" s="565">
        <f>-13.925783/H70</f>
        <v>-0.100478974558783</v>
      </c>
      <c r="I73" s="566"/>
      <c r="J73" s="566"/>
      <c r="K73" s="566"/>
      <c r="L73" s="566"/>
      <c r="M73" s="565">
        <f>-3.34846000000002/M70</f>
        <v>-0.0232565840915759</v>
      </c>
      <c r="N73" s="566"/>
      <c r="O73" s="566"/>
      <c r="P73" s="566"/>
      <c r="Q73" s="566"/>
      <c r="R73" s="565">
        <v>0</v>
      </c>
      <c r="S73" s="566"/>
      <c r="T73" s="566"/>
      <c r="U73" s="566"/>
      <c r="V73" s="566"/>
      <c r="W73" s="565">
        <f>-2.7311/W70</f>
        <v>-0.0192330985915493</v>
      </c>
      <c r="X73" s="566"/>
      <c r="Y73" s="566"/>
      <c r="Z73" s="566"/>
      <c r="AA73" s="566"/>
      <c r="AB73" s="565">
        <f>-0.134456/AB70</f>
        <v>-0.00094687323943662</v>
      </c>
      <c r="AC73" s="566"/>
      <c r="AD73" s="566"/>
      <c r="AE73" s="566"/>
      <c r="AF73" s="566"/>
      <c r="AG73" s="565">
        <v>0</v>
      </c>
      <c r="AH73" s="566">
        <v>0</v>
      </c>
      <c r="AI73" s="566">
        <v>0</v>
      </c>
      <c r="AJ73" s="566">
        <v>0</v>
      </c>
      <c r="AK73" s="566">
        <v>0</v>
      </c>
      <c r="AL73" s="565">
        <v>0</v>
      </c>
      <c r="AM73" s="566">
        <v>0</v>
      </c>
      <c r="AN73" s="566">
        <v>0</v>
      </c>
      <c r="AO73" s="566">
        <v>0</v>
      </c>
      <c r="AP73" s="566">
        <v>0</v>
      </c>
      <c r="AQ73" s="565">
        <v>0</v>
      </c>
      <c r="AR73" s="566">
        <v>0</v>
      </c>
      <c r="AS73" s="566">
        <v>0</v>
      </c>
      <c r="AT73" s="566">
        <v>0</v>
      </c>
      <c r="AU73" s="566">
        <v>0</v>
      </c>
      <c r="AV73" s="565">
        <v>0</v>
      </c>
      <c r="AW73" s="566">
        <f>-33.7/AW70</f>
        <v>-0.231041882340036</v>
      </c>
      <c r="AX73" s="566">
        <v>0</v>
      </c>
      <c r="AY73" s="566">
        <v>0</v>
      </c>
      <c r="AZ73" s="566">
        <v>0</v>
      </c>
      <c r="BA73" s="565">
        <f>-33.7/BA70</f>
        <v>-0.233544470470831</v>
      </c>
      <c r="BB73" s="566">
        <v>0</v>
      </c>
      <c r="BC73" s="566">
        <v>0</v>
      </c>
      <c r="BD73" s="566">
        <f>(-3.6+7.7)/BD70</f>
        <v>0.0291904283873356</v>
      </c>
      <c r="BE73" s="566">
        <v>0</v>
      </c>
      <c r="BF73" s="567">
        <f>(-3.6+7.7)/BF70</f>
        <v>0.0291463323606041</v>
      </c>
      <c r="BG73" s="566">
        <f>+(45.336-BG66)/BG70</f>
        <v>0.0320011636786794</v>
      </c>
      <c r="BH73" s="566">
        <f>1.6/BH70</f>
        <v>0.0116593431417558</v>
      </c>
      <c r="BI73" s="566">
        <f>3.8/BI70</f>
        <v>0.0276893257649176</v>
      </c>
      <c r="BJ73" s="566">
        <f>-0.922/BJ70</f>
        <v>-0.00671791322088236</v>
      </c>
      <c r="BK73" s="565">
        <v>0.0660473491026982</v>
      </c>
      <c r="BL73" s="568">
        <f>-13.066/BL70</f>
        <v>-0.0952332361516035</v>
      </c>
      <c r="BM73" s="566">
        <f>-4.04/BM70</f>
        <v>-0.0296398465184185</v>
      </c>
      <c r="BN73" s="566">
        <f>-(22.185-5.813)/BN70</f>
        <v>-0.120757054979421</v>
      </c>
      <c r="BO73" s="568">
        <f>-(1.858-0.855+59.294)/BO70</f>
        <v>-0.444265157710926</v>
      </c>
      <c r="BP73" s="565">
        <f>-(47.223-12.741+59.294)/BP70</f>
        <v>-0.688526997459581</v>
      </c>
      <c r="BQ73" s="568">
        <v>0</v>
      </c>
      <c r="BR73" s="568">
        <v>0</v>
      </c>
      <c r="BS73" s="568">
        <f>-5.163/BS70</f>
        <v>-0.0387970874005275</v>
      </c>
      <c r="BT73" s="568">
        <f>-(23.714+2.301)/BT70</f>
        <v>-0.196391499641415</v>
      </c>
      <c r="BU73" s="569">
        <f>(BQ73*BQ70+BR73*BR70+BS73*BS70+BT73*BT70)/BU70</f>
        <v>-0.232722007001515</v>
      </c>
      <c r="BV73" s="568">
        <v>0</v>
      </c>
      <c r="BW73" s="568">
        <v>0</v>
      </c>
      <c r="BX73" s="568">
        <v>0</v>
      </c>
      <c r="BY73" s="568">
        <v>0</v>
      </c>
      <c r="BZ73" s="569">
        <f>(BV73*BV70+BW73*BW70+BX73*BX70+BY73*BY70)/BZ70</f>
        <v>0</v>
      </c>
      <c r="CA73" s="568">
        <v>0</v>
      </c>
      <c r="CB73" s="568">
        <f>-(7.201-0.782+5.045-1.967)/CB70</f>
        <v>-0.0726075887430332</v>
      </c>
      <c r="CC73" s="568">
        <f>-(1.017+7.514-0.896)/CC70</f>
        <v>-0.0583162750908924</v>
      </c>
      <c r="CD73" s="568">
        <f>-(0.285+7.517-0.27)/CD70</f>
        <v>-0.0575155013897798</v>
      </c>
      <c r="CE73" s="569">
        <f>(CA73*CA70+CB73*CB70+CC73*CC70+CD73*CD70)/CE70</f>
        <v>-0.188461112320958</v>
      </c>
      <c r="CF73" s="568">
        <f>-(0.496+7.168-0.372)/CF70</f>
        <v>-0.0556709216392842</v>
      </c>
      <c r="CG73" s="568">
        <f>-(1.035+7.108-0.434)/CG70</f>
        <v>-0.0590773239328684</v>
      </c>
      <c r="CH73" s="568">
        <f>-(0.328+23.799-0.611)/CH70</f>
        <v>-0.180629699897841</v>
      </c>
      <c r="CI73" s="568">
        <f>-(1.13+0.33)/CI70</f>
        <v>-0.0112734348457238</v>
      </c>
      <c r="CJ73" s="569">
        <f>(CF73*CF70+CG73*CG70+CH73*CH70+CI73*CI70)/CJ70</f>
        <v>-0.306824439579332</v>
      </c>
      <c r="CK73" s="568">
        <v>0</v>
      </c>
      <c r="CL73" s="568">
        <f>+(10.18-1.661)/CL70</f>
        <v>0.0666035995183963</v>
      </c>
      <c r="CM73" s="568">
        <v>0</v>
      </c>
      <c r="CN73" s="568">
        <f>-(470.841-28.171)/CN70</f>
        <v>-3.46371731271811</v>
      </c>
      <c r="CO73" s="569">
        <f>(CK73*CK70+CL73*CL70+CM73*CM70+CN73*CN70)/CO70</f>
        <v>-3.3913476504143</v>
      </c>
      <c r="CP73" s="568">
        <v>0</v>
      </c>
      <c r="CQ73" s="568">
        <v>0</v>
      </c>
      <c r="CR73" s="568">
        <f>-(23.709+44.186+30.315-26.085)/CR70</f>
        <v>-0.568943756409245</v>
      </c>
      <c r="CS73" s="568">
        <v>0</v>
      </c>
      <c r="CT73" s="569">
        <f>(CP73*CP70+CQ73*CQ70+CR73*CR70+CS73*CS70)/CT70</f>
        <v>-0.56764744076594</v>
      </c>
      <c r="CU73" s="568">
        <v>0</v>
      </c>
      <c r="CV73" s="568">
        <v>0</v>
      </c>
      <c r="CW73" s="568">
        <v>0</v>
      </c>
      <c r="CX73" s="568">
        <v>0</v>
      </c>
      <c r="CY73" s="569">
        <f>(CU73*CU70+CV73*CV70+CW73*CW70+CX73*CX70)/CY70</f>
        <v>0</v>
      </c>
      <c r="CZ73" s="568">
        <v>0</v>
      </c>
      <c r="DA73" s="568">
        <v>0</v>
      </c>
      <c r="DB73" s="568">
        <v>0</v>
      </c>
      <c r="DC73" s="568">
        <v>0</v>
      </c>
      <c r="DD73" s="569">
        <f>(CZ73*CZ70+DA73*DA70+DB73*DB70+DC73*DC70)/DD70</f>
        <v>0</v>
      </c>
      <c r="DE73" s="568">
        <v>0</v>
      </c>
      <c r="DF73" s="568">
        <v>0</v>
      </c>
      <c r="DG73" s="570">
        <v>0</v>
      </c>
      <c r="DH73" s="570">
        <v>0</v>
      </c>
      <c r="DI73" s="569">
        <f>(DE73*DE70+DF73*DF70+DG73*DG70+DH73*DH70)/DI70</f>
        <v>0</v>
      </c>
      <c r="DJ73" s="570">
        <v>0</v>
      </c>
      <c r="DK73" s="570">
        <v>0</v>
      </c>
      <c r="DL73" s="570">
        <v>0</v>
      </c>
      <c r="DM73" s="570">
        <v>0</v>
      </c>
      <c r="DN73" s="569">
        <f>(DJ73*DJ70+DK73*DK70+DL73*DL70+DM73*DM70)/DN70</f>
        <v>0</v>
      </c>
      <c r="DO73" s="570">
        <v>0</v>
      </c>
      <c r="DP73" s="570">
        <v>0</v>
      </c>
      <c r="DQ73" s="570">
        <v>0</v>
      </c>
      <c r="DR73" s="570">
        <v>0</v>
      </c>
      <c r="DS73" s="569">
        <f>(DO73*DO70+DP73*DP70+DQ73*DQ70+DR73*DR70)/DS70</f>
        <v>0</v>
      </c>
    </row>
    <row r="74" spans="1:123">
      <c r="B74" s="38" t="s">
        <v>89</v>
      </c>
      <c r="C74" s="180"/>
      <c r="D74" s="181"/>
      <c r="E74" s="181"/>
      <c r="F74" s="181"/>
      <c r="G74" s="181"/>
      <c r="H74" s="530">
        <f>H72/C72-1</f>
        <v>0.625506011445683</v>
      </c>
      <c r="I74" s="87"/>
      <c r="J74" s="87"/>
      <c r="K74" s="87"/>
      <c r="L74" s="87"/>
      <c r="M74" s="530">
        <f>M72/H72-1</f>
        <v>-0.307904637332459</v>
      </c>
      <c r="N74" s="87"/>
      <c r="O74" s="87"/>
      <c r="P74" s="87"/>
      <c r="Q74" s="87"/>
      <c r="R74" s="530">
        <f>R72/M72-1</f>
        <v>1.9088894277765</v>
      </c>
      <c r="S74" s="87"/>
      <c r="T74" s="87"/>
      <c r="U74" s="87"/>
      <c r="V74" s="87"/>
      <c r="W74" s="530">
        <f>W72/R72-1</f>
        <v>0.332947974941147</v>
      </c>
      <c r="X74" s="87"/>
      <c r="Y74" s="87"/>
      <c r="Z74" s="87"/>
      <c r="AA74" s="87"/>
      <c r="AB74" s="530">
        <f>AB72/W72-1</f>
        <v>0.38682589546375</v>
      </c>
      <c r="AC74" s="87"/>
      <c r="AD74" s="87"/>
      <c r="AE74" s="87"/>
      <c r="AF74" s="87"/>
      <c r="AG74" s="530">
        <f>AG72/AB72-1</f>
        <v>1.0589291193184</v>
      </c>
      <c r="AH74" s="87"/>
      <c r="AI74" s="87"/>
      <c r="AJ74" s="87"/>
      <c r="AK74" s="87"/>
      <c r="AL74" s="530">
        <f t="shared" ref="AL74:BQ74" si="171">AL72/AG72-1</f>
        <v>0.495842337574669</v>
      </c>
      <c r="AM74" s="87">
        <f t="shared" si="171"/>
        <v>0.390691733148505</v>
      </c>
      <c r="AN74" s="87">
        <f t="shared" si="171"/>
        <v>0.486366007023086</v>
      </c>
      <c r="AO74" s="87">
        <f t="shared" si="171"/>
        <v>0.473400309588506</v>
      </c>
      <c r="AP74" s="87">
        <f t="shared" si="171"/>
        <v>0.481936899778684</v>
      </c>
      <c r="AQ74" s="530">
        <f t="shared" si="171"/>
        <v>0.465378300839656</v>
      </c>
      <c r="AR74" s="87">
        <f t="shared" si="171"/>
        <v>0.0121621084637638</v>
      </c>
      <c r="AS74" s="87">
        <f t="shared" si="171"/>
        <v>-0.0148386752159879</v>
      </c>
      <c r="AT74" s="87">
        <f t="shared" si="171"/>
        <v>0.151346268765424</v>
      </c>
      <c r="AU74" s="87">
        <f t="shared" si="171"/>
        <v>0.0016003244310332</v>
      </c>
      <c r="AV74" s="530">
        <f t="shared" si="171"/>
        <v>0.0316299023840187</v>
      </c>
      <c r="AW74" s="87">
        <f t="shared" si="171"/>
        <v>0.114166245659192</v>
      </c>
      <c r="AX74" s="87">
        <f t="shared" si="171"/>
        <v>-0.134124768513977</v>
      </c>
      <c r="AY74" s="87">
        <f t="shared" si="171"/>
        <v>-0.0692116105099941</v>
      </c>
      <c r="AZ74" s="87">
        <f t="shared" si="171"/>
        <v>0.0367742043749952</v>
      </c>
      <c r="BA74" s="530">
        <f t="shared" si="171"/>
        <v>-0.0131820151751154</v>
      </c>
      <c r="BB74" s="87">
        <f t="shared" si="171"/>
        <v>-0.0699932255662484</v>
      </c>
      <c r="BC74" s="87">
        <f t="shared" si="171"/>
        <v>0.00437759134495797</v>
      </c>
      <c r="BD74" s="87">
        <f t="shared" si="171"/>
        <v>-0.171428443871513</v>
      </c>
      <c r="BE74" s="87">
        <f t="shared" si="171"/>
        <v>0.0906649908153312</v>
      </c>
      <c r="BF74" s="530">
        <f t="shared" si="171"/>
        <v>-0.0147997770192646</v>
      </c>
      <c r="BG74" s="87">
        <f t="shared" si="171"/>
        <v>-0.113624868137094</v>
      </c>
      <c r="BH74" s="87">
        <f t="shared" si="171"/>
        <v>0.126516201887056</v>
      </c>
      <c r="BI74" s="87">
        <f t="shared" si="171"/>
        <v>0.34563502508752</v>
      </c>
      <c r="BJ74" s="87">
        <f t="shared" si="171"/>
        <v>0.175724846658766</v>
      </c>
      <c r="BK74" s="530">
        <f t="shared" si="171"/>
        <v>0.1518853122202</v>
      </c>
      <c r="BL74" s="87">
        <f t="shared" si="171"/>
        <v>0.0847976661001388</v>
      </c>
      <c r="BM74" s="87">
        <f t="shared" si="171"/>
        <v>0.0208433217534423</v>
      </c>
      <c r="BN74" s="87">
        <f t="shared" si="171"/>
        <v>0.182504456982861</v>
      </c>
      <c r="BO74" s="87">
        <f t="shared" si="171"/>
        <v>0.328494371907084</v>
      </c>
      <c r="BP74" s="530">
        <f t="shared" si="171"/>
        <v>0.206423103715417</v>
      </c>
      <c r="BQ74" s="87">
        <f t="shared" si="171"/>
        <v>0.711829747250686</v>
      </c>
      <c r="BR74" s="87">
        <f t="shared" ref="BR74:CW74" si="172">BR72/BM72-1</f>
        <v>0.83943761383166</v>
      </c>
      <c r="BS74" s="87">
        <f t="shared" si="172"/>
        <v>0.346670665534863</v>
      </c>
      <c r="BT74" s="87">
        <f t="shared" si="172"/>
        <v>0.391179667935205</v>
      </c>
      <c r="BU74" s="530">
        <f t="shared" si="172"/>
        <v>0.485483919607036</v>
      </c>
      <c r="BV74" s="87">
        <f t="shared" si="172"/>
        <v>0.330380013822869</v>
      </c>
      <c r="BW74" s="87">
        <f t="shared" si="172"/>
        <v>0.34249793860329</v>
      </c>
      <c r="BX74" s="87">
        <f t="shared" si="172"/>
        <v>0.287159833140703</v>
      </c>
      <c r="BY74" s="87">
        <f t="shared" si="172"/>
        <v>0.233611187363896</v>
      </c>
      <c r="BZ74" s="530">
        <f t="shared" si="172"/>
        <v>0.282505382387034</v>
      </c>
      <c r="CA74" s="87">
        <f t="shared" si="172"/>
        <v>-0.702401691157195</v>
      </c>
      <c r="CB74" s="87">
        <f t="shared" si="172"/>
        <v>-0.229648609184126</v>
      </c>
      <c r="CC74" s="87">
        <f t="shared" si="172"/>
        <v>0.199699161432453</v>
      </c>
      <c r="CD74" s="87">
        <f t="shared" si="172"/>
        <v>0.13151901045112</v>
      </c>
      <c r="CE74" s="530">
        <f t="shared" si="172"/>
        <v>-0.0489774632708386</v>
      </c>
      <c r="CF74" s="87">
        <f t="shared" si="172"/>
        <v>4.31005924771677</v>
      </c>
      <c r="CG74" s="87">
        <f t="shared" si="172"/>
        <v>1.24608998748506</v>
      </c>
      <c r="CH74" s="87">
        <f t="shared" si="172"/>
        <v>0.404678445959191</v>
      </c>
      <c r="CI74" s="87">
        <f t="shared" si="172"/>
        <v>0.306687344306639</v>
      </c>
      <c r="CJ74" s="530">
        <f t="shared" si="172"/>
        <v>0.662053435184911</v>
      </c>
      <c r="CK74" s="87">
        <f t="shared" si="172"/>
        <v>0.271668775411055</v>
      </c>
      <c r="CL74" s="87">
        <f t="shared" si="172"/>
        <v>0.328551817548748</v>
      </c>
      <c r="CM74" s="87">
        <f t="shared" si="172"/>
        <v>0.231424153073866</v>
      </c>
      <c r="CN74" s="87">
        <f t="shared" si="172"/>
        <v>0.307423162654222</v>
      </c>
      <c r="CO74" s="530">
        <f t="shared" si="172"/>
        <v>0.292094286888527</v>
      </c>
      <c r="CP74" s="87">
        <f t="shared" si="172"/>
        <v>0.539481913570674</v>
      </c>
      <c r="CQ74" s="87">
        <f t="shared" si="172"/>
        <v>0.221802546134954</v>
      </c>
      <c r="CR74" s="87">
        <f t="shared" si="172"/>
        <v>0.266279479208069</v>
      </c>
      <c r="CS74" s="87">
        <f t="shared" si="172"/>
        <v>0.201657775787846</v>
      </c>
      <c r="CT74" s="530">
        <f t="shared" si="172"/>
        <v>0.268119344730581</v>
      </c>
      <c r="CU74" s="87">
        <f t="shared" si="172"/>
        <v>0.118060177907965</v>
      </c>
      <c r="CV74" s="87">
        <f t="shared" si="172"/>
        <v>0.172394928014497</v>
      </c>
      <c r="CW74" s="87">
        <f t="shared" si="172"/>
        <v>0.132146428364692</v>
      </c>
      <c r="CX74" s="87">
        <f t="shared" ref="CX74:DN74" si="173">CX72/CS72-1</f>
        <v>0.160910181664645</v>
      </c>
      <c r="CY74" s="530">
        <f t="shared" si="173"/>
        <v>0.146384905818707</v>
      </c>
      <c r="CZ74" s="87">
        <f t="shared" si="173"/>
        <v>0.0231785796423163</v>
      </c>
      <c r="DA74" s="87">
        <f t="shared" si="173"/>
        <v>-0.0152008680423288</v>
      </c>
      <c r="DB74" s="87">
        <f t="shared" si="173"/>
        <v>-0.0967192654313318</v>
      </c>
      <c r="DC74" s="87">
        <f t="shared" si="173"/>
        <v>-0.184394337214632</v>
      </c>
      <c r="DD74" s="530">
        <f t="shared" si="173"/>
        <v>-0.0938923181265261</v>
      </c>
      <c r="DE74" s="87">
        <f t="shared" si="173"/>
        <v>-0.351173410132674</v>
      </c>
      <c r="DF74" s="87">
        <f t="shared" si="173"/>
        <v>-0.0592330815940501</v>
      </c>
      <c r="DG74" s="87">
        <f t="shared" si="173"/>
        <v>-0.621681403489342</v>
      </c>
      <c r="DH74" s="87">
        <f t="shared" si="173"/>
        <v>-0.178012781098552</v>
      </c>
      <c r="DI74" s="530">
        <f t="shared" si="173"/>
        <v>-0.272929896446653</v>
      </c>
      <c r="DJ74" s="87">
        <f t="shared" si="173"/>
        <v>-0.063374170473491</v>
      </c>
      <c r="DK74" s="87">
        <f t="shared" si="173"/>
        <v>-0.348370921813651</v>
      </c>
      <c r="DL74" s="87">
        <f t="shared" si="173"/>
        <v>-0.0861288682679658</v>
      </c>
      <c r="DM74" s="87">
        <f t="shared" si="173"/>
        <v>-0.0196988319432589</v>
      </c>
      <c r="DN74" s="530">
        <f t="shared" si="173"/>
        <v>-0.131301376803255</v>
      </c>
      <c r="DO74" s="87">
        <f t="shared" ref="DO74" si="174">DO72/DJ72-1</f>
        <v>0.000753954520989364</v>
      </c>
      <c r="DP74" s="87">
        <f t="shared" ref="DP74" si="175">DP72/DK72-1</f>
        <v>0.00864835932218222</v>
      </c>
      <c r="DQ74" s="87">
        <f t="shared" ref="DQ74" si="176">DQ72/DL72-1</f>
        <v>-0.0410377417240426</v>
      </c>
      <c r="DR74" s="87">
        <f t="shared" ref="DR74" si="177">DR72/DM72-1</f>
        <v>0.0181247251897223</v>
      </c>
      <c r="DS74" s="530">
        <f t="shared" ref="DS74" si="178">DS72/DN72-1</f>
        <v>0.00649422656159326</v>
      </c>
    </row>
    <row r="75" spans="1:123">
      <c r="B75" s="38"/>
      <c r="C75" s="571"/>
      <c r="D75" s="514"/>
      <c r="E75" s="514"/>
      <c r="F75" s="514"/>
      <c r="G75" s="514"/>
      <c r="H75" s="571"/>
      <c r="I75" s="514"/>
      <c r="J75" s="514"/>
      <c r="K75" s="514"/>
      <c r="L75" s="514"/>
      <c r="M75" s="571"/>
      <c r="N75" s="514"/>
      <c r="O75" s="514"/>
      <c r="P75" s="514"/>
      <c r="Q75" s="514"/>
      <c r="R75" s="571"/>
      <c r="S75" s="514"/>
      <c r="T75" s="514"/>
      <c r="U75" s="514"/>
      <c r="V75" s="514"/>
      <c r="W75" s="571"/>
      <c r="X75" s="514"/>
      <c r="Y75" s="514"/>
      <c r="Z75" s="514"/>
      <c r="AA75" s="514"/>
      <c r="AB75" s="571"/>
      <c r="AC75" s="514"/>
      <c r="AD75" s="514"/>
      <c r="AE75" s="514"/>
      <c r="AF75" s="514"/>
      <c r="AG75" s="571"/>
      <c r="AH75" s="514"/>
      <c r="AI75" s="514"/>
      <c r="AJ75" s="514"/>
      <c r="AK75" s="514"/>
      <c r="AL75" s="571"/>
      <c r="AM75" s="514"/>
      <c r="AN75" s="514"/>
      <c r="AO75" s="514"/>
      <c r="AP75" s="514"/>
      <c r="AQ75" s="571"/>
      <c r="AR75" s="514"/>
      <c r="AS75" s="514"/>
      <c r="AT75" s="514"/>
      <c r="AU75" s="514"/>
      <c r="AV75" s="571"/>
      <c r="AW75" s="514"/>
      <c r="AX75" s="514"/>
      <c r="AY75" s="514"/>
      <c r="AZ75" s="514"/>
      <c r="BA75" s="571"/>
      <c r="BB75" s="514"/>
      <c r="BC75" s="514"/>
      <c r="BD75" s="514"/>
      <c r="BE75" s="514"/>
      <c r="BF75" s="571"/>
      <c r="BG75" s="514"/>
      <c r="BH75" s="514"/>
      <c r="BI75" s="514"/>
      <c r="BJ75" s="514"/>
      <c r="BK75" s="571"/>
      <c r="BL75" s="514"/>
      <c r="BM75" s="514"/>
      <c r="BN75" s="514"/>
      <c r="BO75" s="514"/>
      <c r="BP75" s="571"/>
      <c r="BQ75" s="514"/>
      <c r="BR75" s="514"/>
      <c r="BS75" s="514"/>
      <c r="BT75" s="514"/>
      <c r="BU75" s="571"/>
      <c r="BV75" s="514"/>
      <c r="BW75" s="514"/>
      <c r="BX75" s="514"/>
      <c r="BY75" s="514"/>
      <c r="BZ75" s="571"/>
      <c r="CA75" s="514"/>
      <c r="CB75" s="514"/>
      <c r="CC75" s="514"/>
      <c r="CD75" s="514"/>
      <c r="CE75" s="571"/>
      <c r="CF75" s="514"/>
      <c r="CG75" s="514"/>
      <c r="CH75" s="514"/>
      <c r="CI75" s="514"/>
      <c r="CJ75" s="571"/>
      <c r="CK75" s="514"/>
      <c r="CL75" s="514"/>
      <c r="CM75" s="514"/>
      <c r="CN75" s="514"/>
      <c r="CO75" s="571"/>
      <c r="CP75" s="514"/>
      <c r="CQ75" s="514"/>
      <c r="CR75" s="514"/>
      <c r="CS75" s="514"/>
      <c r="CT75" s="571"/>
      <c r="CU75" s="514"/>
      <c r="CV75" s="514"/>
      <c r="CW75" s="514"/>
      <c r="CX75" s="514"/>
      <c r="CY75" s="571"/>
      <c r="CZ75" s="514"/>
      <c r="DA75" s="514"/>
      <c r="DB75" s="514"/>
      <c r="DC75" s="514"/>
      <c r="DD75" s="571"/>
      <c r="DE75" s="514"/>
      <c r="DF75" s="514"/>
      <c r="DG75" s="514"/>
      <c r="DH75" s="514"/>
      <c r="DI75" s="571"/>
      <c r="DJ75" s="514"/>
      <c r="DK75" s="514"/>
      <c r="DL75" s="514"/>
      <c r="DM75" s="514"/>
      <c r="DN75" s="571"/>
      <c r="DO75" s="514"/>
      <c r="DP75" s="514"/>
      <c r="DQ75" s="514"/>
      <c r="DR75" s="514"/>
      <c r="DS75" s="571"/>
    </row>
    <row r="76" s="3" customFormat="1" spans="1:123">
      <c r="A76" s="132"/>
      <c r="B76" s="572" t="s">
        <v>90</v>
      </c>
      <c r="C76" s="562">
        <f>SUM(C72:C73)</f>
        <v>-0.0101952465474696</v>
      </c>
      <c r="D76" s="563"/>
      <c r="E76" s="563"/>
      <c r="F76" s="563"/>
      <c r="G76" s="563"/>
      <c r="H76" s="562">
        <f>SUM(H72:H73)</f>
        <v>0.0100589058689408</v>
      </c>
      <c r="I76" s="563"/>
      <c r="J76" s="563"/>
      <c r="K76" s="563"/>
      <c r="L76" s="563"/>
      <c r="M76" s="562">
        <f>SUM(M72:M73)</f>
        <v>0.053246170351551</v>
      </c>
      <c r="N76" s="563"/>
      <c r="O76" s="563"/>
      <c r="P76" s="563"/>
      <c r="Q76" s="563"/>
      <c r="R76" s="562">
        <f>SUM(R72:R73)</f>
        <v>0.222538053595393</v>
      </c>
      <c r="S76" s="563"/>
      <c r="T76" s="563"/>
      <c r="U76" s="563"/>
      <c r="V76" s="563"/>
      <c r="W76" s="562">
        <f>SUM(W72:W73)</f>
        <v>0.277398549295774</v>
      </c>
      <c r="X76" s="563"/>
      <c r="Y76" s="563"/>
      <c r="Z76" s="563"/>
      <c r="AA76" s="563"/>
      <c r="AB76" s="562">
        <f>SUM(AB72:AB73)</f>
        <v>0.410429577464789</v>
      </c>
      <c r="AC76" s="563"/>
      <c r="AD76" s="563"/>
      <c r="AE76" s="563"/>
      <c r="AF76" s="563"/>
      <c r="AG76" s="562">
        <f>SUM(AG72:AG73)</f>
        <v>0.846994953356782</v>
      </c>
      <c r="AH76" s="563">
        <f>AH72+AH73</f>
        <v>0.230294665654544</v>
      </c>
      <c r="AI76" s="563">
        <f>AI72+AI73</f>
        <v>0.264267221197014</v>
      </c>
      <c r="AJ76" s="563">
        <f>AJ72+AJ73</f>
        <v>0.266902421069288</v>
      </c>
      <c r="AK76" s="563">
        <f>AK72+AK73</f>
        <v>0.506050468756453</v>
      </c>
      <c r="AL76" s="562">
        <f>SUM(AL72:AL73)</f>
        <v>1.26697091094316</v>
      </c>
      <c r="AM76" s="563">
        <f>AM72+AM73</f>
        <v>0.320268887713974</v>
      </c>
      <c r="AN76" s="563">
        <f>AN72+AN73</f>
        <v>0.392797814357693</v>
      </c>
      <c r="AO76" s="563">
        <f>AO72+AO73</f>
        <v>0.393254109833411</v>
      </c>
      <c r="AP76" s="563">
        <f>AP72+AP73</f>
        <v>0.749934862800488</v>
      </c>
      <c r="AQ76" s="562">
        <f>SUM(AQ72:AQ73)</f>
        <v>1.85659168069115</v>
      </c>
      <c r="AR76" s="563">
        <f>AR72+AR73</f>
        <v>0.32416403266392</v>
      </c>
      <c r="AS76" s="563">
        <f>AS72+AS73</f>
        <v>0.386969215164889</v>
      </c>
      <c r="AT76" s="563">
        <f>AT72+AT73</f>
        <v>0.452771652033366</v>
      </c>
      <c r="AU76" s="563">
        <f>AU72+AU73</f>
        <v>0.751135001883111</v>
      </c>
      <c r="AV76" s="562">
        <f>SUM(AV72:AV73)</f>
        <v>1.9153154943184</v>
      </c>
      <c r="AW76" s="563">
        <f>AW72+AW73</f>
        <v>0.130130740910867</v>
      </c>
      <c r="AX76" s="563">
        <f>AX72+AX73</f>
        <v>0.335067058758863</v>
      </c>
      <c r="AY76" s="563">
        <f>AY72+AY73</f>
        <v>0.421434596802866</v>
      </c>
      <c r="AZ76" s="563">
        <f>AZ72+AZ73</f>
        <v>0.778757393955573</v>
      </c>
      <c r="BA76" s="562">
        <f>SUM(BA72:BA73)</f>
        <v>1.65652330593633</v>
      </c>
      <c r="BB76" s="563">
        <f>BB72+BB73</f>
        <v>0.335892986363349</v>
      </c>
      <c r="BC76" s="563">
        <f>BC72+BC73</f>
        <v>0.336533845415267</v>
      </c>
      <c r="BD76" s="563">
        <f>BD72+BD73</f>
        <v>0.378379148066668</v>
      </c>
      <c r="BE76" s="563">
        <f>BE72+BE73</f>
        <v>0.849363425925926</v>
      </c>
      <c r="BF76" s="562">
        <f>SUM(BF72:BF73)</f>
        <v>1.89124152712564</v>
      </c>
      <c r="BG76" s="563">
        <f>BG72+BG73</f>
        <v>0.329728353758318</v>
      </c>
      <c r="BH76" s="563">
        <f>BH72+BH73</f>
        <v>0.390770172485408</v>
      </c>
      <c r="BI76" s="563">
        <f>BI72+BI73</f>
        <v>0.497569897330895</v>
      </c>
      <c r="BJ76" s="563">
        <f>BJ72+BJ73</f>
        <v>0.991899770483441</v>
      </c>
      <c r="BK76" s="562">
        <f>SUM(BK72:BK73)</f>
        <v>2.21096745390835</v>
      </c>
      <c r="BL76" s="563">
        <f>BL72+BL73</f>
        <v>0.227740524781341</v>
      </c>
      <c r="BM76" s="563">
        <f>BM72+BM73</f>
        <v>0.357372911821457</v>
      </c>
      <c r="BN76" s="563">
        <f>BN72+BN73</f>
        <v>0.434878815147001</v>
      </c>
      <c r="BO76" s="563">
        <f>BO72+BO73</f>
        <v>0.882392814777157</v>
      </c>
      <c r="BP76" s="562">
        <f>SUM(BP72:BP73)</f>
        <v>1.89915417260165</v>
      </c>
      <c r="BQ76" s="563">
        <f>BQ72+BQ73</f>
        <v>0.552876091546446</v>
      </c>
      <c r="BR76" s="563">
        <f>BR72+BR73</f>
        <v>0.71188582472311</v>
      </c>
      <c r="BS76" s="563">
        <f>BS72+BS73</f>
        <v>0.709461439617665</v>
      </c>
      <c r="BT76" s="563">
        <f>BT72+BT73</f>
        <v>1.64922809798815</v>
      </c>
      <c r="BU76" s="562">
        <f>SUM(BU72:BU73)</f>
        <v>3.61123676019437</v>
      </c>
      <c r="BV76" s="563">
        <f>BV72+BV73</f>
        <v>0.735535302313895</v>
      </c>
      <c r="BW76" s="563">
        <f>BW72+BW73</f>
        <v>0.955705252211679</v>
      </c>
      <c r="BX76" s="563">
        <f>BX72+BX73</f>
        <v>0.963128320782845</v>
      </c>
      <c r="BY76" s="563">
        <f>BY72+BY73</f>
        <v>2.27677698325388</v>
      </c>
      <c r="BZ76" s="562">
        <f>SUM(BZ72:BZ73)</f>
        <v>4.92989780860255</v>
      </c>
      <c r="CA76" s="563">
        <f>CA72+CA73</f>
        <v>0.218894062062797</v>
      </c>
      <c r="CB76" s="563">
        <f>CB72+CB73</f>
        <v>0.663621281508269</v>
      </c>
      <c r="CC76" s="563">
        <f>CC72+CC73</f>
        <v>1.09714796370413</v>
      </c>
      <c r="CD76" s="563">
        <f>CD72+CD73</f>
        <v>2.51870093771954</v>
      </c>
      <c r="CE76" s="562">
        <f>SUM(CE72:CE73)</f>
        <v>4.49998280743178</v>
      </c>
      <c r="CF76" s="563">
        <f>CF72+CF73</f>
        <v>1.10666951688756</v>
      </c>
      <c r="CG76" s="563">
        <f>CG72+CG73</f>
        <v>1.59455897003602</v>
      </c>
      <c r="CH76" s="563">
        <f>CH72+CH73</f>
        <v>1.44242601141417</v>
      </c>
      <c r="CI76" s="563">
        <f>CI72+CI73</f>
        <v>3.35503598233314</v>
      </c>
      <c r="CJ76" s="562">
        <f>SUM(CJ72:CJ73)</f>
        <v>7.48561988291751</v>
      </c>
      <c r="CK76" s="563">
        <f>CK72+CK73</f>
        <v>1.47811204207218</v>
      </c>
      <c r="CL76" s="563">
        <f>CL72+CL73</f>
        <v>2.26354510343534</v>
      </c>
      <c r="CM76" s="563">
        <f>CM72+CM73</f>
        <v>1.9986700046941</v>
      </c>
      <c r="CN76" s="563">
        <f>CN72+CN73</f>
        <v>0.937473591962567</v>
      </c>
      <c r="CO76" s="562">
        <f>SUM(CO72:CO73)</f>
        <v>6.6772251395808</v>
      </c>
      <c r="CP76" s="563">
        <f>CP72+CP73</f>
        <v>2.27552675500113</v>
      </c>
      <c r="CQ76" s="563">
        <f>CQ72+CQ73</f>
        <v>2.68422872319527</v>
      </c>
      <c r="CR76" s="563">
        <f>CR72+CR73</f>
        <v>1.96193105624359</v>
      </c>
      <c r="CS76" s="563">
        <f>CS72+CS73</f>
        <v>5.28872527333628</v>
      </c>
      <c r="CT76" s="562">
        <f>SUM(CT72:CT73)</f>
        <v>12.2005044880548</v>
      </c>
      <c r="CU76" s="563">
        <f>CU72+CU73</f>
        <v>2.5441758485309</v>
      </c>
      <c r="CV76" s="563">
        <f>CV72+CV73</f>
        <v>3.14697614070497</v>
      </c>
      <c r="CW76" s="563">
        <f>CW72+CW73</f>
        <v>2.86532087978307</v>
      </c>
      <c r="CX76" s="563">
        <f>CX72+CX73</f>
        <v>6.13973501784322</v>
      </c>
      <c r="CY76" s="562">
        <f>SUM(CY72:CY73)</f>
        <v>14.6372166464001</v>
      </c>
      <c r="CZ76" s="563">
        <f>CZ72+CZ73</f>
        <v>2.60314623106013</v>
      </c>
      <c r="DA76" s="563">
        <f>DA72+DA73</f>
        <v>3.09913937165775</v>
      </c>
      <c r="DB76" s="563">
        <f>DB72+DB73</f>
        <v>2.58818914906539</v>
      </c>
      <c r="DC76" s="563">
        <f>DC72+DC73</f>
        <v>5.00760264855456</v>
      </c>
      <c r="DD76" s="562">
        <f>SUM(DD72:DD73)</f>
        <v>13.2628944445494</v>
      </c>
      <c r="DE76" s="563">
        <f>DE72+DE73</f>
        <v>1.68899049202473</v>
      </c>
      <c r="DF76" s="563">
        <f>DF72+DF73</f>
        <v>2.91556779638502</v>
      </c>
      <c r="DG76" s="563">
        <f>DG72+DG73</f>
        <v>0.979160086378532</v>
      </c>
      <c r="DH76" s="563">
        <f>DH72+DH73</f>
        <v>4.11618537444889</v>
      </c>
      <c r="DI76" s="562">
        <f>SUM(DI72:DI73)</f>
        <v>9.64305403721566</v>
      </c>
      <c r="DJ76" s="563">
        <f>DJ72+DJ73</f>
        <v>1.58195212065505</v>
      </c>
      <c r="DK76" s="563">
        <f>DK72+DK73</f>
        <v>1.89986875554817</v>
      </c>
      <c r="DL76" s="563">
        <f>DL72+DL73</f>
        <v>0.894826136285585</v>
      </c>
      <c r="DM76" s="563">
        <f>DM72+DM73</f>
        <v>4.03510133051032</v>
      </c>
      <c r="DN76" s="562">
        <f>SUM(DN72:DN73)</f>
        <v>8.37690776554106</v>
      </c>
      <c r="DO76" s="563">
        <f>DO72+DO73</f>
        <v>1.58314484060841</v>
      </c>
      <c r="DP76" s="563">
        <f>DP72+DP73</f>
        <v>1.91629950321114</v>
      </c>
      <c r="DQ76" s="563">
        <f>DQ72+DQ73</f>
        <v>0.858104492416775</v>
      </c>
      <c r="DR76" s="563">
        <f>DR72+DR73</f>
        <v>4.1082364332385</v>
      </c>
      <c r="DS76" s="562">
        <f>SUM(DS72:DS73)</f>
        <v>8.43130930245605</v>
      </c>
    </row>
    <row r="77" spans="1:123">
      <c r="B77" s="573"/>
      <c r="C77" s="571"/>
      <c r="D77" s="514"/>
      <c r="E77" s="514"/>
      <c r="F77" s="514"/>
      <c r="G77" s="514"/>
      <c r="H77" s="571"/>
      <c r="I77" s="514"/>
      <c r="J77" s="514"/>
      <c r="K77" s="514"/>
      <c r="L77" s="514"/>
      <c r="M77" s="571"/>
      <c r="N77" s="514"/>
      <c r="O77" s="514"/>
      <c r="P77" s="514"/>
      <c r="Q77" s="514"/>
      <c r="R77" s="571"/>
      <c r="S77" s="514"/>
      <c r="T77" s="514"/>
      <c r="U77" s="514"/>
      <c r="V77" s="514"/>
      <c r="W77" s="571"/>
      <c r="X77" s="514"/>
      <c r="Y77" s="514"/>
      <c r="Z77" s="514"/>
      <c r="AA77" s="514"/>
      <c r="AB77" s="571"/>
      <c r="AC77" s="514"/>
      <c r="AD77" s="514"/>
      <c r="AE77" s="514"/>
      <c r="AF77" s="514"/>
      <c r="AG77" s="571"/>
      <c r="AH77" s="514"/>
      <c r="AI77" s="514"/>
      <c r="AJ77" s="514"/>
      <c r="AK77" s="514"/>
      <c r="AL77" s="571"/>
      <c r="AM77" s="514"/>
      <c r="AN77" s="514"/>
      <c r="AO77" s="514"/>
      <c r="AP77" s="514"/>
      <c r="AQ77" s="571"/>
      <c r="AR77" s="514"/>
      <c r="AS77" s="514"/>
      <c r="AT77" s="514"/>
      <c r="AU77" s="514"/>
      <c r="AV77" s="571"/>
      <c r="AW77" s="514"/>
      <c r="AX77" s="514"/>
      <c r="AY77" s="514"/>
      <c r="AZ77" s="514"/>
      <c r="BA77" s="571"/>
      <c r="BB77" s="514"/>
      <c r="BC77" s="514"/>
      <c r="BD77" s="514"/>
      <c r="BE77" s="514"/>
      <c r="BF77" s="571"/>
      <c r="BG77" s="514"/>
      <c r="BH77" s="514"/>
      <c r="BI77" s="514"/>
      <c r="BJ77" s="514"/>
      <c r="BK77" s="571"/>
      <c r="BL77" s="514"/>
      <c r="BM77" s="514"/>
      <c r="BN77" s="514"/>
      <c r="BO77" s="514"/>
      <c r="BP77" s="571"/>
      <c r="BQ77" s="514"/>
      <c r="BR77" s="514"/>
      <c r="BS77" s="514"/>
      <c r="BT77" s="514"/>
      <c r="BU77" s="524"/>
      <c r="BV77" s="514"/>
      <c r="BW77" s="514"/>
      <c r="BX77" s="514"/>
      <c r="BY77" s="514"/>
      <c r="BZ77" s="524"/>
      <c r="CA77" s="514"/>
      <c r="CB77" s="514"/>
      <c r="CC77" s="514"/>
      <c r="CD77" s="514"/>
      <c r="CE77" s="571"/>
      <c r="CF77" s="514"/>
      <c r="CG77" s="514"/>
      <c r="CH77" s="514"/>
      <c r="CI77" s="574"/>
      <c r="CJ77" s="571"/>
      <c r="CK77" s="514"/>
      <c r="CL77" s="514"/>
      <c r="CM77" s="514"/>
      <c r="CN77" s="574"/>
      <c r="CO77" s="571"/>
      <c r="CP77" s="514"/>
      <c r="CQ77" s="514"/>
      <c r="CR77" s="514"/>
      <c r="CS77" s="574"/>
      <c r="CT77" s="571"/>
      <c r="CU77" s="514"/>
      <c r="CV77" s="514"/>
      <c r="CW77" s="514"/>
      <c r="CX77" s="574"/>
      <c r="CY77" s="571"/>
      <c r="CZ77" s="514"/>
      <c r="DA77" s="514"/>
      <c r="DB77" s="514"/>
      <c r="DC77" s="514"/>
      <c r="DD77" s="571"/>
      <c r="DE77" s="514"/>
      <c r="DF77" s="514"/>
      <c r="DG77" s="514"/>
      <c r="DH77" s="514"/>
      <c r="DI77" s="571"/>
      <c r="DJ77" s="514"/>
      <c r="DK77" s="514"/>
      <c r="DL77" s="514"/>
      <c r="DM77" s="514"/>
      <c r="DN77" s="571"/>
      <c r="DO77" s="514"/>
      <c r="DP77" s="514"/>
      <c r="DQ77" s="514"/>
      <c r="DR77" s="514"/>
      <c r="DS77" s="571"/>
    </row>
    <row r="78" spans="1:123">
      <c r="B78" s="575" t="s">
        <v>91</v>
      </c>
      <c r="C78" s="576"/>
      <c r="D78" s="577"/>
      <c r="E78" s="577"/>
      <c r="F78" s="577"/>
      <c r="G78" s="577"/>
      <c r="H78" s="576"/>
      <c r="I78" s="577"/>
      <c r="J78" s="577"/>
      <c r="K78" s="577"/>
      <c r="L78" s="577"/>
      <c r="M78" s="576">
        <f>M55+M90</f>
        <v>28.02837</v>
      </c>
      <c r="N78" s="577"/>
      <c r="O78" s="577"/>
      <c r="P78" s="577"/>
      <c r="Q78" s="577"/>
      <c r="R78" s="576">
        <f>R55+R90</f>
        <v>58.4160589999999</v>
      </c>
      <c r="S78" s="577"/>
      <c r="T78" s="577"/>
      <c r="U78" s="577"/>
      <c r="V78" s="577"/>
      <c r="W78" s="576">
        <f>W55+W90</f>
        <v>76.588815</v>
      </c>
      <c r="X78" s="577"/>
      <c r="Y78" s="577"/>
      <c r="Z78" s="577"/>
      <c r="AA78" s="577"/>
      <c r="AB78" s="576">
        <f>AB55+AB90</f>
        <v>107.574</v>
      </c>
      <c r="AC78" s="577"/>
      <c r="AD78" s="577"/>
      <c r="AE78" s="577"/>
      <c r="AF78" s="577"/>
      <c r="AG78" s="576">
        <f t="shared" ref="AG78:CR78" si="179">AG55+AG90</f>
        <v>205.005</v>
      </c>
      <c r="AH78" s="577">
        <f t="shared" si="179"/>
        <v>57.728</v>
      </c>
      <c r="AI78" s="577">
        <f t="shared" si="179"/>
        <v>67.003</v>
      </c>
      <c r="AJ78" s="577">
        <f t="shared" si="179"/>
        <v>67.048</v>
      </c>
      <c r="AK78" s="577">
        <f t="shared" si="179"/>
        <v>125.438</v>
      </c>
      <c r="AL78" s="576">
        <f t="shared" si="179"/>
        <v>317.217</v>
      </c>
      <c r="AM78" s="577">
        <f t="shared" si="179"/>
        <v>82.863</v>
      </c>
      <c r="AN78" s="577">
        <f t="shared" si="179"/>
        <v>79.869</v>
      </c>
      <c r="AO78" s="577">
        <f t="shared" si="179"/>
        <v>92.0940000000001</v>
      </c>
      <c r="AP78" s="577">
        <f t="shared" si="179"/>
        <v>164.613</v>
      </c>
      <c r="AQ78" s="576">
        <f t="shared" si="179"/>
        <v>419.439</v>
      </c>
      <c r="AR78" s="577">
        <f t="shared" si="179"/>
        <v>77.6180000000001</v>
      </c>
      <c r="AS78" s="577">
        <f t="shared" si="179"/>
        <v>91.064</v>
      </c>
      <c r="AT78" s="577">
        <f t="shared" si="179"/>
        <v>105.252</v>
      </c>
      <c r="AU78" s="577">
        <f t="shared" si="179"/>
        <v>166.492</v>
      </c>
      <c r="AV78" s="576">
        <f t="shared" si="179"/>
        <v>440.426</v>
      </c>
      <c r="AW78" s="577">
        <f t="shared" si="179"/>
        <v>82.261</v>
      </c>
      <c r="AX78" s="577">
        <f t="shared" si="179"/>
        <v>81.544</v>
      </c>
      <c r="AY78" s="577">
        <f t="shared" si="179"/>
        <v>96.768</v>
      </c>
      <c r="AZ78" s="577">
        <f t="shared" si="179"/>
        <v>173.843</v>
      </c>
      <c r="BA78" s="576">
        <f t="shared" si="179"/>
        <v>434.397</v>
      </c>
      <c r="BB78" s="577">
        <f t="shared" si="179"/>
        <v>84.132</v>
      </c>
      <c r="BC78" s="577">
        <f t="shared" si="179"/>
        <v>83.274</v>
      </c>
      <c r="BD78" s="577">
        <f t="shared" si="179"/>
        <v>87.885</v>
      </c>
      <c r="BE78" s="577">
        <f t="shared" si="179"/>
        <v>187.168</v>
      </c>
      <c r="BF78" s="576">
        <f t="shared" si="179"/>
        <v>442.459</v>
      </c>
      <c r="BG78" s="577">
        <f t="shared" si="179"/>
        <v>76.774</v>
      </c>
      <c r="BH78" s="577">
        <f t="shared" si="179"/>
        <v>94.457</v>
      </c>
      <c r="BI78" s="577">
        <f t="shared" si="179"/>
        <v>116.933</v>
      </c>
      <c r="BJ78" s="577">
        <f t="shared" si="179"/>
        <v>220.685</v>
      </c>
      <c r="BK78" s="576">
        <f t="shared" si="179"/>
        <v>508.849</v>
      </c>
      <c r="BL78" s="577">
        <f t="shared" si="179"/>
        <v>86.336</v>
      </c>
      <c r="BM78" s="577">
        <f t="shared" si="179"/>
        <v>102.548</v>
      </c>
      <c r="BN78" s="577">
        <f t="shared" si="179"/>
        <v>136.349</v>
      </c>
      <c r="BO78" s="577">
        <f t="shared" si="179"/>
        <v>286.242</v>
      </c>
      <c r="BP78" s="576">
        <f t="shared" si="179"/>
        <v>611.459</v>
      </c>
      <c r="BQ78" s="577">
        <f t="shared" si="179"/>
        <v>131.078</v>
      </c>
      <c r="BR78" s="577">
        <f t="shared" si="179"/>
        <v>162.864</v>
      </c>
      <c r="BS78" s="577">
        <f t="shared" si="179"/>
        <v>167.589</v>
      </c>
      <c r="BT78" s="577">
        <f t="shared" si="179"/>
        <v>366.789</v>
      </c>
      <c r="BU78" s="576">
        <f t="shared" si="179"/>
        <v>828.32</v>
      </c>
      <c r="BV78" s="577">
        <f t="shared" si="179"/>
        <v>161.635</v>
      </c>
      <c r="BW78" s="577">
        <f t="shared" si="179"/>
        <v>205.581</v>
      </c>
      <c r="BX78" s="577">
        <f t="shared" si="179"/>
        <v>219.851</v>
      </c>
      <c r="BY78" s="577">
        <f t="shared" si="179"/>
        <v>463.976</v>
      </c>
      <c r="BZ78" s="576">
        <f t="shared" si="179"/>
        <v>1051.043</v>
      </c>
      <c r="CA78" s="577">
        <f t="shared" si="179"/>
        <v>76.283</v>
      </c>
      <c r="CB78" s="577">
        <f t="shared" si="179"/>
        <v>176.517</v>
      </c>
      <c r="CC78" s="577">
        <f t="shared" si="179"/>
        <v>262.484</v>
      </c>
      <c r="CD78" s="577">
        <f t="shared" si="179"/>
        <v>517.977</v>
      </c>
      <c r="CE78" s="576">
        <f t="shared" si="179"/>
        <v>1033.261</v>
      </c>
      <c r="CF78" s="577">
        <f t="shared" si="179"/>
        <v>251.97</v>
      </c>
      <c r="CG78" s="577">
        <f t="shared" si="179"/>
        <v>352.812</v>
      </c>
      <c r="CH78" s="577">
        <f t="shared" si="179"/>
        <v>340.037</v>
      </c>
      <c r="CI78" s="577">
        <f t="shared" si="179"/>
        <v>654.136</v>
      </c>
      <c r="CJ78" s="576">
        <f t="shared" si="179"/>
        <v>1598.955</v>
      </c>
      <c r="CK78" s="577">
        <f t="shared" si="179"/>
        <v>324.817</v>
      </c>
      <c r="CL78" s="577">
        <f t="shared" si="179"/>
        <v>458.999</v>
      </c>
      <c r="CM78" s="577">
        <f t="shared" si="179"/>
        <v>431.615</v>
      </c>
      <c r="CN78" s="577">
        <f t="shared" si="179"/>
        <v>865.429</v>
      </c>
      <c r="CO78" s="576">
        <f t="shared" si="179"/>
        <v>2080.86</v>
      </c>
      <c r="CP78" s="577">
        <f t="shared" si="179"/>
        <v>485.53</v>
      </c>
      <c r="CQ78" s="577">
        <f t="shared" si="179"/>
        <v>573.266</v>
      </c>
      <c r="CR78" s="577">
        <f t="shared" si="179"/>
        <v>534.294</v>
      </c>
      <c r="CS78" s="577">
        <f t="shared" ref="CS78:DS78" si="180">CS55+CS90</f>
        <v>1017.18</v>
      </c>
      <c r="CT78" s="576">
        <f t="shared" si="180"/>
        <v>2610.27</v>
      </c>
      <c r="CU78" s="577">
        <f t="shared" si="180"/>
        <v>528.401</v>
      </c>
      <c r="CV78" s="577">
        <f t="shared" si="180"/>
        <v>643.799</v>
      </c>
      <c r="CW78" s="577">
        <f t="shared" si="180"/>
        <v>604.26</v>
      </c>
      <c r="CX78" s="577">
        <f t="shared" si="180"/>
        <v>1175.761</v>
      </c>
      <c r="CY78" s="576">
        <f t="shared" si="180"/>
        <v>2952.221</v>
      </c>
      <c r="CZ78" s="577">
        <f t="shared" si="180"/>
        <v>553.154</v>
      </c>
      <c r="DA78" s="577">
        <f t="shared" si="180"/>
        <v>643.529</v>
      </c>
      <c r="DB78" s="577">
        <f t="shared" si="180"/>
        <v>563.345</v>
      </c>
      <c r="DC78" s="577">
        <f t="shared" si="180"/>
        <v>946.815</v>
      </c>
      <c r="DD78" s="576">
        <f t="shared" si="180"/>
        <v>2706.843</v>
      </c>
      <c r="DE78" s="577">
        <f t="shared" si="180"/>
        <v>412.281</v>
      </c>
      <c r="DF78" s="577">
        <f t="shared" si="180"/>
        <v>595.985</v>
      </c>
      <c r="DG78" s="577">
        <f t="shared" si="180"/>
        <v>300.728650427514</v>
      </c>
      <c r="DH78" s="577">
        <f t="shared" si="180"/>
        <v>789.135380336233</v>
      </c>
      <c r="DI78" s="576">
        <f t="shared" si="180"/>
        <v>2098.13003076375</v>
      </c>
      <c r="DJ78" s="577">
        <f t="shared" si="180"/>
        <v>396.721459490229</v>
      </c>
      <c r="DK78" s="577">
        <f t="shared" si="180"/>
        <v>450.202526025101</v>
      </c>
      <c r="DL78" s="577">
        <f t="shared" si="180"/>
        <v>306.86990453361</v>
      </c>
      <c r="DM78" s="577">
        <f t="shared" si="180"/>
        <v>780.941320467763</v>
      </c>
      <c r="DN78" s="576">
        <f t="shared" si="180"/>
        <v>1934.7352105167</v>
      </c>
      <c r="DO78" s="577">
        <f t="shared" si="180"/>
        <v>414.233991255408</v>
      </c>
      <c r="DP78" s="577">
        <f t="shared" si="180"/>
        <v>469.523146631385</v>
      </c>
      <c r="DQ78" s="577">
        <f t="shared" si="180"/>
        <v>326.826801935066</v>
      </c>
      <c r="DR78" s="577">
        <f t="shared" si="180"/>
        <v>798.929592346466</v>
      </c>
      <c r="DS78" s="576">
        <f t="shared" si="180"/>
        <v>2009.51353216832</v>
      </c>
    </row>
    <row r="79" spans="1:123">
      <c r="B79" s="578" t="s">
        <v>92</v>
      </c>
      <c r="C79" s="579"/>
      <c r="D79" s="580"/>
      <c r="E79" s="580"/>
      <c r="F79" s="580"/>
      <c r="G79" s="580"/>
      <c r="H79" s="579"/>
      <c r="I79" s="580"/>
      <c r="J79" s="580"/>
      <c r="K79" s="580"/>
      <c r="L79" s="580"/>
      <c r="M79" s="579">
        <f>'3. Earnings Build'!M97</f>
        <v>-9.2</v>
      </c>
      <c r="N79" s="580"/>
      <c r="O79" s="580"/>
      <c r="P79" s="580"/>
      <c r="Q79" s="580"/>
      <c r="R79" s="579">
        <f>'3. Earnings Build'!R97</f>
        <v>-19.006214</v>
      </c>
      <c r="S79" s="580"/>
      <c r="T79" s="580"/>
      <c r="U79" s="580"/>
      <c r="V79" s="580"/>
      <c r="W79" s="579">
        <f>'3. Earnings Build'!W97</f>
        <v>-32.701379</v>
      </c>
      <c r="X79" s="580"/>
      <c r="Y79" s="580"/>
      <c r="Z79" s="580"/>
      <c r="AA79" s="580"/>
      <c r="AB79" s="579">
        <f>'3. Earnings Build'!AB97</f>
        <v>-41.639</v>
      </c>
      <c r="AC79" s="580"/>
      <c r="AD79" s="580"/>
      <c r="AE79" s="580"/>
      <c r="AF79" s="580"/>
      <c r="AG79" s="579">
        <f>'3. Earnings Build'!AG97</f>
        <v>-53.071</v>
      </c>
      <c r="AH79" s="580">
        <f>'3. Earnings Build'!AH97</f>
        <v>-14.9498593200469</v>
      </c>
      <c r="AI79" s="580">
        <f>'3. Earnings Build'!AI97</f>
        <v>-15.7760357561547</v>
      </c>
      <c r="AJ79" s="580">
        <f>'3. Earnings Build'!AJ97</f>
        <v>-17.4283886283705</v>
      </c>
      <c r="AK79" s="580">
        <f>'3. Earnings Build'!AK97</f>
        <v>-18.9627162954279</v>
      </c>
      <c r="AL79" s="579">
        <f>'3. Earnings Build'!AL97</f>
        <v>-67.117</v>
      </c>
      <c r="AM79" s="580">
        <f>'3. Earnings Build'!AM97</f>
        <v>-19.0569580064605</v>
      </c>
      <c r="AN79" s="580">
        <f>'3. Earnings Build'!AN97</f>
        <v>-19.8937904937702</v>
      </c>
      <c r="AO79" s="580">
        <f>'3. Earnings Build'!AO97</f>
        <v>-21.1300203045685</v>
      </c>
      <c r="AP79" s="580">
        <f>'3. Earnings Build'!AP97</f>
        <v>-22.3472311952007</v>
      </c>
      <c r="AQ79" s="579">
        <f>'3. Earnings Build'!AQ97</f>
        <v>-82.428</v>
      </c>
      <c r="AR79" s="580">
        <f>'3. Earnings Build'!AR97</f>
        <v>-19.187129588015</v>
      </c>
      <c r="AS79" s="580">
        <f>'3. Earnings Build'!AS97</f>
        <v>-19.9989528089888</v>
      </c>
      <c r="AT79" s="580">
        <f>'3. Earnings Build'!AT97</f>
        <v>-21.4196434456929</v>
      </c>
      <c r="AU79" s="580">
        <f>'3. Earnings Build'!AU97</f>
        <v>-22.7622741573034</v>
      </c>
      <c r="AV79" s="579">
        <f>'3. Earnings Build'!AV97</f>
        <v>-83.368</v>
      </c>
      <c r="AW79" s="580">
        <f>'3. Earnings Build'!AW97</f>
        <v>-23.4117049486461</v>
      </c>
      <c r="AX79" s="580">
        <f>'3. Earnings Build'!AX97</f>
        <v>-24.1433207282913</v>
      </c>
      <c r="AY79" s="580">
        <f>'3. Earnings Build'!AY97</f>
        <v>-25.4508893557423</v>
      </c>
      <c r="AZ79" s="580">
        <f>'3. Earnings Build'!AZ97</f>
        <v>-27.0230849673203</v>
      </c>
      <c r="BA79" s="579">
        <f>'3. Earnings Build'!BA97</f>
        <v>-100.029</v>
      </c>
      <c r="BB79" s="580">
        <f>'3. Earnings Build'!BB97</f>
        <v>-28.797016278774</v>
      </c>
      <c r="BC79" s="580">
        <f>'3. Earnings Build'!BC97</f>
        <v>-30.3326460638433</v>
      </c>
      <c r="BD79" s="580">
        <f>'3. Earnings Build'!BD97</f>
        <v>-31.9949257280936</v>
      </c>
      <c r="BE79" s="580">
        <f>'3. Earnings Build'!BE97</f>
        <v>-33.3564119292891</v>
      </c>
      <c r="BF79" s="579">
        <f>'3. Earnings Build'!BF97</f>
        <v>-124.481</v>
      </c>
      <c r="BG79" s="580">
        <f>'3. Earnings Build'!BG97</f>
        <v>-35.5810096957539</v>
      </c>
      <c r="BH79" s="580">
        <f>'3. Earnings Build'!BH97</f>
        <v>-36.3366544076674</v>
      </c>
      <c r="BI79" s="580">
        <f>'3. Earnings Build'!BI97</f>
        <v>-37.1415802964449</v>
      </c>
      <c r="BJ79" s="580">
        <f>'3. Earnings Build'!BJ97</f>
        <v>-38.3407556001337</v>
      </c>
      <c r="BK79" s="579">
        <f>'3. Earnings Build'!BK97</f>
        <v>-147.4</v>
      </c>
      <c r="BL79" s="580">
        <f>'3. Earnings Build'!BL97</f>
        <v>-41.5042694300518</v>
      </c>
      <c r="BM79" s="580">
        <f>'3. Earnings Build'!BM97</f>
        <v>-42.3364352331606</v>
      </c>
      <c r="BN79" s="580">
        <f>'3. Earnings Build'!BN97</f>
        <v>-42.1283937823834</v>
      </c>
      <c r="BO79" s="580">
        <f>'3. Earnings Build'!BO97</f>
        <v>-41.3309015544041</v>
      </c>
      <c r="BP79" s="579">
        <f>'3. Earnings Build'!BP97</f>
        <v>-167.3</v>
      </c>
      <c r="BQ79" s="580">
        <f>'3. Earnings Build'!BQ97</f>
        <v>-46.6204463093649</v>
      </c>
      <c r="BR79" s="580">
        <f>'3. Earnings Build'!BR97</f>
        <v>-48.7163837497616</v>
      </c>
      <c r="BS79" s="580">
        <f>'3. Earnings Build'!BS97</f>
        <v>-50.1703223345413</v>
      </c>
      <c r="BT79" s="580">
        <f>'3. Earnings Build'!BT97</f>
        <v>-52.4928476063323</v>
      </c>
      <c r="BU79" s="579">
        <f>'3. Earnings Build'!BU97</f>
        <v>-198</v>
      </c>
      <c r="BV79" s="580">
        <f>'3. Earnings Build'!BV97</f>
        <v>-60.339</v>
      </c>
      <c r="BW79" s="580">
        <f>'3. Earnings Build'!BW97</f>
        <v>-63.34</v>
      </c>
      <c r="BX79" s="580">
        <f>'3. Earnings Build'!BX97</f>
        <v>-65.149</v>
      </c>
      <c r="BY79" s="580">
        <f>'3. Earnings Build'!BY97</f>
        <v>-67.854</v>
      </c>
      <c r="BZ79" s="579">
        <f>'3. Earnings Build'!BZ97</f>
        <v>-256.682</v>
      </c>
      <c r="CA79" s="580">
        <f>'3. Earnings Build'!CA97</f>
        <v>-64.7038194444444</v>
      </c>
      <c r="CB79" s="580">
        <f>'3. Earnings Build'!CB97</f>
        <v>-65.6941840277778</v>
      </c>
      <c r="CC79" s="580">
        <f>'3. Earnings Build'!CC97</f>
        <v>-67.4108159722222</v>
      </c>
      <c r="CD79" s="580">
        <f>'3. Earnings Build'!CD97</f>
        <v>-68.4011805555556</v>
      </c>
      <c r="CE79" s="579">
        <f>'3. Earnings Build'!CE97</f>
        <v>-266.21</v>
      </c>
      <c r="CF79" s="580">
        <f>'3. Earnings Build'!CF97</f>
        <v>-77.1603867377695</v>
      </c>
      <c r="CG79" s="580">
        <f>'3. Earnings Build'!CG97</f>
        <v>-78.1211961511709</v>
      </c>
      <c r="CH79" s="580">
        <f>'3. Earnings Build'!CH97</f>
        <v>-80.26454022722</v>
      </c>
      <c r="CI79" s="580">
        <f>'3. Earnings Build'!CI97</f>
        <v>-83.2208768838396</v>
      </c>
      <c r="CJ79" s="579">
        <f>'3. Earnings Build'!CJ97</f>
        <v>-318.767</v>
      </c>
      <c r="CK79" s="580">
        <f>'3. Earnings Build'!CK97</f>
        <v>-89.9397256362508</v>
      </c>
      <c r="CL79" s="580">
        <f>'3. Earnings Build'!CL97</f>
        <v>-91.9678547486033</v>
      </c>
      <c r="CM79" s="580">
        <f>'3. Earnings Build'!CM97</f>
        <v>-95.4000732464308</v>
      </c>
      <c r="CN79" s="580">
        <f>'3. Earnings Build'!CN97</f>
        <v>-99.6903463687151</v>
      </c>
      <c r="CO79" s="579">
        <f>'3. Earnings Build'!CO97</f>
        <v>-376.998</v>
      </c>
      <c r="CP79" s="580">
        <f>'3. Earnings Build'!CP97</f>
        <v>-109.864013318535</v>
      </c>
      <c r="CQ79" s="580">
        <f>'3. Earnings Build'!CQ97</f>
        <v>-111.282151683315</v>
      </c>
      <c r="CR79" s="580">
        <f>'3. Earnings Build'!CR97</f>
        <v>-113.284229374769</v>
      </c>
      <c r="CS79" s="580">
        <f>'3. Earnings Build'!CS97</f>
        <v>-116.537605623381</v>
      </c>
      <c r="CT79" s="579">
        <f>'3. Earnings Build'!CT97</f>
        <v>-450.968</v>
      </c>
      <c r="CU79" s="580">
        <f>'3. Earnings Build'!CU97</f>
        <v>-130.974235273973</v>
      </c>
      <c r="CV79" s="580">
        <f>'3. Earnings Build'!CV97</f>
        <v>-131.895291780822</v>
      </c>
      <c r="CW79" s="580">
        <f>'3. Earnings Build'!CW97</f>
        <v>-135.395306506849</v>
      </c>
      <c r="CX79" s="580">
        <f>'3. Earnings Build'!CX97</f>
        <v>-139.632166438356</v>
      </c>
      <c r="CY79" s="579">
        <f>'3. Earnings Build'!CY97</f>
        <v>-537.897</v>
      </c>
      <c r="CZ79" s="580">
        <f>'3. Earnings Build'!CZ97</f>
        <v>-148.417939630456</v>
      </c>
      <c r="DA79" s="580">
        <f>'3. Earnings Build'!DA97</f>
        <v>-150.059517362217</v>
      </c>
      <c r="DB79" s="580">
        <f>'3. Earnings Build'!DB97</f>
        <v>-152.570165657853</v>
      </c>
      <c r="DC79" s="580">
        <f>'3. Earnings Build'!DC97</f>
        <v>-155.177377349474</v>
      </c>
      <c r="DD79" s="579">
        <f>'3. Earnings Build'!DD97</f>
        <v>-606.225</v>
      </c>
      <c r="DE79" s="580">
        <f>'3. Earnings Build'!DE97</f>
        <v>-171.626159214707</v>
      </c>
      <c r="DF79" s="580">
        <f>'3. Earnings Build'!DF97</f>
        <v>-173.10296697685</v>
      </c>
      <c r="DG79" s="580">
        <f>'3. Earnings Build'!DG97</f>
        <v>-175.107206082615</v>
      </c>
      <c r="DH79" s="580">
        <f>'3. Earnings Build'!DH97</f>
        <v>-177.322417725828</v>
      </c>
      <c r="DI79" s="579">
        <f>'3. Earnings Build'!DI97</f>
        <v>-697.15875</v>
      </c>
      <c r="DJ79" s="580">
        <f>'3. Earnings Build'!DJ97</f>
        <v>-197.890833694781</v>
      </c>
      <c r="DK79" s="580">
        <f>'3. Earnings Build'!DK97</f>
        <v>-199.059710444307</v>
      </c>
      <c r="DL79" s="580">
        <f>'3. Earnings Build'!DL97</f>
        <v>-201.163688593454</v>
      </c>
      <c r="DM79" s="580">
        <f>'3. Earnings Build'!DM97</f>
        <v>-203.618329767459</v>
      </c>
      <c r="DN79" s="579">
        <f>'3. Earnings Build'!DN97</f>
        <v>-801.7325625</v>
      </c>
      <c r="DO79" s="580">
        <f>'3. Earnings Build'!DO97</f>
        <v>-227.676480127427</v>
      </c>
      <c r="DP79" s="580">
        <f>'3. Earnings Build'!DP97</f>
        <v>-228.973782008495</v>
      </c>
      <c r="DQ79" s="580">
        <f>'3. Earnings Build'!DQ97</f>
        <v>-231.308925394417</v>
      </c>
      <c r="DR79" s="580">
        <f>'3. Earnings Build'!DR97</f>
        <v>-234.03325934466</v>
      </c>
      <c r="DS79" s="579">
        <f>'3. Earnings Build'!DS97</f>
        <v>-921.992446875</v>
      </c>
    </row>
    <row r="80" spans="1:123">
      <c r="B80" s="578" t="s">
        <v>93</v>
      </c>
      <c r="C80" s="579"/>
      <c r="D80" s="580"/>
      <c r="E80" s="580"/>
      <c r="F80" s="580"/>
      <c r="G80" s="580"/>
      <c r="H80" s="579"/>
      <c r="I80" s="580"/>
      <c r="J80" s="580"/>
      <c r="K80" s="580"/>
      <c r="L80" s="580"/>
      <c r="M80" s="579">
        <f>M78-M79</f>
        <v>37.22837</v>
      </c>
      <c r="N80" s="580"/>
      <c r="O80" s="580"/>
      <c r="P80" s="580"/>
      <c r="Q80" s="580"/>
      <c r="R80" s="579">
        <f>R78-R79</f>
        <v>77.4222729999999</v>
      </c>
      <c r="S80" s="580"/>
      <c r="T80" s="580"/>
      <c r="U80" s="580"/>
      <c r="V80" s="580"/>
      <c r="W80" s="579">
        <f>W78-W79</f>
        <v>109.290194</v>
      </c>
      <c r="X80" s="580"/>
      <c r="Y80" s="580"/>
      <c r="Z80" s="580"/>
      <c r="AA80" s="580"/>
      <c r="AB80" s="579">
        <f>AB78-AB79</f>
        <v>149.213</v>
      </c>
      <c r="AC80" s="580"/>
      <c r="AD80" s="580"/>
      <c r="AE80" s="580"/>
      <c r="AF80" s="580"/>
      <c r="AG80" s="579">
        <f>AG78-AG79</f>
        <v>258.076</v>
      </c>
      <c r="AH80" s="580">
        <f t="shared" ref="AH80:BZ80" si="181">AH78-AH79</f>
        <v>72.6778593200469</v>
      </c>
      <c r="AI80" s="580">
        <f t="shared" si="181"/>
        <v>82.7790357561547</v>
      </c>
      <c r="AJ80" s="580">
        <f t="shared" si="181"/>
        <v>84.4763886283705</v>
      </c>
      <c r="AK80" s="580">
        <f t="shared" si="181"/>
        <v>144.400716295428</v>
      </c>
      <c r="AL80" s="579">
        <f t="shared" si="181"/>
        <v>384.334</v>
      </c>
      <c r="AM80" s="580">
        <f t="shared" si="181"/>
        <v>101.919958006461</v>
      </c>
      <c r="AN80" s="580">
        <f t="shared" si="181"/>
        <v>99.7627904937702</v>
      </c>
      <c r="AO80" s="580">
        <f t="shared" si="181"/>
        <v>113.224020304569</v>
      </c>
      <c r="AP80" s="580">
        <f t="shared" si="181"/>
        <v>186.960231195201</v>
      </c>
      <c r="AQ80" s="579">
        <f t="shared" si="181"/>
        <v>501.867</v>
      </c>
      <c r="AR80" s="580">
        <f t="shared" si="181"/>
        <v>96.805129588015</v>
      </c>
      <c r="AS80" s="580">
        <f t="shared" si="181"/>
        <v>111.062952808989</v>
      </c>
      <c r="AT80" s="580">
        <f t="shared" si="181"/>
        <v>126.671643445693</v>
      </c>
      <c r="AU80" s="580">
        <f t="shared" si="181"/>
        <v>189.254274157303</v>
      </c>
      <c r="AV80" s="579">
        <f t="shared" si="181"/>
        <v>523.794</v>
      </c>
      <c r="AW80" s="580">
        <f t="shared" si="181"/>
        <v>105.672704948646</v>
      </c>
      <c r="AX80" s="580">
        <f t="shared" si="181"/>
        <v>105.687320728291</v>
      </c>
      <c r="AY80" s="580">
        <f t="shared" si="181"/>
        <v>122.218889355742</v>
      </c>
      <c r="AZ80" s="580">
        <f t="shared" si="181"/>
        <v>200.86608496732</v>
      </c>
      <c r="BA80" s="579">
        <f t="shared" si="181"/>
        <v>534.426</v>
      </c>
      <c r="BB80" s="580">
        <f t="shared" si="181"/>
        <v>112.929016278774</v>
      </c>
      <c r="BC80" s="580">
        <f t="shared" si="181"/>
        <v>113.606646063843</v>
      </c>
      <c r="BD80" s="580">
        <f t="shared" si="181"/>
        <v>119.879925728094</v>
      </c>
      <c r="BE80" s="580">
        <f t="shared" si="181"/>
        <v>220.524411929289</v>
      </c>
      <c r="BF80" s="579">
        <f t="shared" si="181"/>
        <v>566.94</v>
      </c>
      <c r="BG80" s="580">
        <f t="shared" si="181"/>
        <v>112.355009695754</v>
      </c>
      <c r="BH80" s="580">
        <f t="shared" si="181"/>
        <v>130.793654407667</v>
      </c>
      <c r="BI80" s="580">
        <f t="shared" si="181"/>
        <v>154.074580296445</v>
      </c>
      <c r="BJ80" s="580">
        <f t="shared" si="181"/>
        <v>259.025755600134</v>
      </c>
      <c r="BK80" s="579">
        <f t="shared" si="181"/>
        <v>656.249</v>
      </c>
      <c r="BL80" s="580">
        <f t="shared" si="181"/>
        <v>127.840269430052</v>
      </c>
      <c r="BM80" s="580">
        <f t="shared" si="181"/>
        <v>144.884435233161</v>
      </c>
      <c r="BN80" s="580">
        <f t="shared" si="181"/>
        <v>178.477393782384</v>
      </c>
      <c r="BO80" s="580">
        <f t="shared" si="181"/>
        <v>327.572901554404</v>
      </c>
      <c r="BP80" s="579">
        <f t="shared" si="181"/>
        <v>778.759</v>
      </c>
      <c r="BQ80" s="580">
        <f t="shared" si="181"/>
        <v>177.698446309365</v>
      </c>
      <c r="BR80" s="580">
        <f t="shared" si="181"/>
        <v>211.580383749762</v>
      </c>
      <c r="BS80" s="580">
        <f t="shared" si="181"/>
        <v>217.759322334541</v>
      </c>
      <c r="BT80" s="580">
        <f t="shared" si="181"/>
        <v>419.281847606332</v>
      </c>
      <c r="BU80" s="579">
        <f t="shared" si="181"/>
        <v>1026.32</v>
      </c>
      <c r="BV80" s="580">
        <f t="shared" si="181"/>
        <v>221.974</v>
      </c>
      <c r="BW80" s="580">
        <f t="shared" si="181"/>
        <v>268.921</v>
      </c>
      <c r="BX80" s="580">
        <f t="shared" si="181"/>
        <v>285</v>
      </c>
      <c r="BY80" s="580">
        <f t="shared" si="181"/>
        <v>531.83</v>
      </c>
      <c r="BZ80" s="579">
        <f t="shared" si="181"/>
        <v>1307.725</v>
      </c>
      <c r="CA80" s="580">
        <f t="shared" ref="CA80:CO80" si="182">CA78-CA79</f>
        <v>140.986819444444</v>
      </c>
      <c r="CB80" s="580">
        <f t="shared" si="182"/>
        <v>242.211184027778</v>
      </c>
      <c r="CC80" s="580">
        <f t="shared" si="182"/>
        <v>329.894815972222</v>
      </c>
      <c r="CD80" s="580">
        <f t="shared" si="182"/>
        <v>586.378180555555</v>
      </c>
      <c r="CE80" s="579">
        <f t="shared" si="182"/>
        <v>1299.471</v>
      </c>
      <c r="CF80" s="580">
        <f t="shared" si="182"/>
        <v>329.13038673777</v>
      </c>
      <c r="CG80" s="580">
        <f t="shared" si="182"/>
        <v>430.933196151171</v>
      </c>
      <c r="CH80" s="580">
        <f t="shared" si="182"/>
        <v>420.30154022722</v>
      </c>
      <c r="CI80" s="580">
        <f t="shared" si="182"/>
        <v>737.356876883839</v>
      </c>
      <c r="CJ80" s="579">
        <f t="shared" si="182"/>
        <v>1917.722</v>
      </c>
      <c r="CK80" s="580">
        <f t="shared" si="182"/>
        <v>414.756725636251</v>
      </c>
      <c r="CL80" s="580">
        <f t="shared" si="182"/>
        <v>550.966854748603</v>
      </c>
      <c r="CM80" s="580">
        <f t="shared" si="182"/>
        <v>527.015073246431</v>
      </c>
      <c r="CN80" s="580">
        <f t="shared" si="182"/>
        <v>965.119346368715</v>
      </c>
      <c r="CO80" s="579">
        <f t="shared" si="182"/>
        <v>2457.858</v>
      </c>
      <c r="CP80" s="580">
        <f t="shared" ref="CP80:DI80" si="183">CP78-CP79</f>
        <v>595.394013318535</v>
      </c>
      <c r="CQ80" s="580">
        <f t="shared" si="183"/>
        <v>684.548151683315</v>
      </c>
      <c r="CR80" s="580">
        <f t="shared" si="183"/>
        <v>647.578229374769</v>
      </c>
      <c r="CS80" s="580">
        <f t="shared" si="183"/>
        <v>1133.71760562338</v>
      </c>
      <c r="CT80" s="579">
        <f t="shared" si="183"/>
        <v>3061.238</v>
      </c>
      <c r="CU80" s="580">
        <f t="shared" si="183"/>
        <v>659.375235273973</v>
      </c>
      <c r="CV80" s="580">
        <f t="shared" si="183"/>
        <v>775.694291780822</v>
      </c>
      <c r="CW80" s="580">
        <f t="shared" si="183"/>
        <v>739.655306506849</v>
      </c>
      <c r="CX80" s="580">
        <f t="shared" si="183"/>
        <v>1315.39316643836</v>
      </c>
      <c r="CY80" s="579">
        <f t="shared" si="183"/>
        <v>3490.118</v>
      </c>
      <c r="CZ80" s="580">
        <f t="shared" si="183"/>
        <v>701.571939630455</v>
      </c>
      <c r="DA80" s="580">
        <f t="shared" si="183"/>
        <v>793.588517362217</v>
      </c>
      <c r="DB80" s="580">
        <f t="shared" si="183"/>
        <v>715.915165657853</v>
      </c>
      <c r="DC80" s="580">
        <f t="shared" si="183"/>
        <v>1101.99237734947</v>
      </c>
      <c r="DD80" s="579">
        <f t="shared" si="183"/>
        <v>3313.068</v>
      </c>
      <c r="DE80" s="580">
        <f t="shared" si="183"/>
        <v>583.907159214707</v>
      </c>
      <c r="DF80" s="580">
        <f t="shared" si="183"/>
        <v>769.087966976849</v>
      </c>
      <c r="DG80" s="580">
        <f t="shared" si="183"/>
        <v>475.835856510128</v>
      </c>
      <c r="DH80" s="580">
        <f t="shared" si="183"/>
        <v>966.457798062061</v>
      </c>
      <c r="DI80" s="579">
        <f t="shared" si="183"/>
        <v>2795.28878076375</v>
      </c>
      <c r="DJ80" s="580">
        <f t="shared" ref="DJ80:DN80" si="184">DJ78-DJ79</f>
        <v>594.612293185009</v>
      </c>
      <c r="DK80" s="580">
        <f t="shared" si="184"/>
        <v>649.262236469408</v>
      </c>
      <c r="DL80" s="580">
        <f t="shared" si="184"/>
        <v>508.033593127064</v>
      </c>
      <c r="DM80" s="580">
        <f t="shared" si="184"/>
        <v>984.559650235222</v>
      </c>
      <c r="DN80" s="579">
        <f t="shared" si="184"/>
        <v>2736.4677730167</v>
      </c>
      <c r="DO80" s="580">
        <f t="shared" ref="DO80:DS80" si="185">DO78-DO79</f>
        <v>641.910471382835</v>
      </c>
      <c r="DP80" s="580">
        <f t="shared" si="185"/>
        <v>698.49692863988</v>
      </c>
      <c r="DQ80" s="580">
        <f t="shared" si="185"/>
        <v>558.135727329483</v>
      </c>
      <c r="DR80" s="580">
        <f t="shared" si="185"/>
        <v>1032.96285169113</v>
      </c>
      <c r="DS80" s="579">
        <f t="shared" si="185"/>
        <v>2931.50597904332</v>
      </c>
    </row>
    <row r="81" s="483" customFormat="1" spans="1:123">
      <c r="A81" s="514"/>
      <c r="B81" s="578" t="s">
        <v>94</v>
      </c>
      <c r="C81" s="581"/>
      <c r="D81" s="582"/>
      <c r="E81" s="582"/>
      <c r="F81" s="582"/>
      <c r="G81" s="582"/>
      <c r="H81" s="581"/>
      <c r="I81" s="582"/>
      <c r="J81" s="582"/>
      <c r="K81" s="582"/>
      <c r="L81" s="582"/>
      <c r="M81" s="581">
        <f>M126/M70</f>
        <v>0.0859993684357273</v>
      </c>
      <c r="N81" s="582"/>
      <c r="O81" s="582"/>
      <c r="P81" s="582"/>
      <c r="Q81" s="582"/>
      <c r="R81" s="581">
        <f>R126/R70</f>
        <v>0.0530648512922638</v>
      </c>
      <c r="S81" s="582"/>
      <c r="T81" s="582"/>
      <c r="U81" s="582"/>
      <c r="V81" s="582"/>
      <c r="W81" s="581">
        <f>W126/W70</f>
        <v>0.0359670070422535</v>
      </c>
      <c r="X81" s="582"/>
      <c r="Y81" s="582"/>
      <c r="Z81" s="582"/>
      <c r="AA81" s="582"/>
      <c r="AB81" s="581">
        <f>AB126/AB70</f>
        <v>0.721570422535211</v>
      </c>
      <c r="AC81" s="582"/>
      <c r="AD81" s="582"/>
      <c r="AE81" s="582"/>
      <c r="AF81" s="582"/>
      <c r="AG81" s="581">
        <f t="shared" ref="AG81:BL81" si="186">AG126/AG70</f>
        <v>1.0401785093634</v>
      </c>
      <c r="AH81" s="582">
        <f t="shared" si="186"/>
        <v>-0.477372162031606</v>
      </c>
      <c r="AI81" s="582">
        <f t="shared" si="186"/>
        <v>0.00950918555650437</v>
      </c>
      <c r="AJ81" s="582">
        <f t="shared" si="186"/>
        <v>0.141892961079884</v>
      </c>
      <c r="AK81" s="582">
        <f t="shared" si="186"/>
        <v>0.923257478764851</v>
      </c>
      <c r="AL81" s="581">
        <f t="shared" si="186"/>
        <v>0.598562755544542</v>
      </c>
      <c r="AM81" s="582">
        <f t="shared" si="186"/>
        <v>0.0223569559933257</v>
      </c>
      <c r="AN81" s="582">
        <f t="shared" si="186"/>
        <v>0.145649995194882</v>
      </c>
      <c r="AO81" s="582">
        <f t="shared" si="186"/>
        <v>0.114752861102726</v>
      </c>
      <c r="AP81" s="582">
        <f t="shared" si="186"/>
        <v>0.998896095881957</v>
      </c>
      <c r="AQ81" s="581">
        <f t="shared" si="186"/>
        <v>1.28242315695932</v>
      </c>
      <c r="AR81" s="582">
        <f t="shared" si="186"/>
        <v>0.0285157937318738</v>
      </c>
      <c r="AS81" s="582">
        <f t="shared" si="186"/>
        <v>0.155973299706681</v>
      </c>
      <c r="AT81" s="582">
        <f t="shared" si="186"/>
        <v>-0.027785006917145</v>
      </c>
      <c r="AU81" s="582">
        <f t="shared" si="186"/>
        <v>1.02078268908138</v>
      </c>
      <c r="AV81" s="581">
        <f t="shared" si="186"/>
        <v>1.17798476912167</v>
      </c>
      <c r="AW81" s="582">
        <f t="shared" si="186"/>
        <v>0.312091648898609</v>
      </c>
      <c r="AX81" s="582">
        <f t="shared" si="186"/>
        <v>0.180983070411697</v>
      </c>
      <c r="AY81" s="582">
        <f t="shared" si="186"/>
        <v>0.0387406668944022</v>
      </c>
      <c r="AZ81" s="582">
        <f t="shared" si="186"/>
        <v>0.824153822376463</v>
      </c>
      <c r="BA81" s="581">
        <f t="shared" si="186"/>
        <v>1.34940193211271</v>
      </c>
      <c r="BB81" s="582">
        <f t="shared" si="186"/>
        <v>-0.0491509586404095</v>
      </c>
      <c r="BC81" s="582">
        <f t="shared" si="186"/>
        <v>-0.183283442997938</v>
      </c>
      <c r="BD81" s="582">
        <f t="shared" si="186"/>
        <v>-0.350078671764312</v>
      </c>
      <c r="BE81" s="582">
        <f t="shared" si="186"/>
        <v>1.71711516203704</v>
      </c>
      <c r="BF81" s="581">
        <f t="shared" si="186"/>
        <v>1.10367208243436</v>
      </c>
      <c r="BG81" s="582">
        <f t="shared" si="186"/>
        <v>0.0952034619440707</v>
      </c>
      <c r="BH81" s="582">
        <f t="shared" si="186"/>
        <v>0.113948217942272</v>
      </c>
      <c r="BI81" s="582">
        <f t="shared" si="186"/>
        <v>-0.273716271850885</v>
      </c>
      <c r="BJ81" s="582">
        <f t="shared" si="186"/>
        <v>1.78114017549156</v>
      </c>
      <c r="BK81" s="581">
        <f t="shared" si="186"/>
        <v>1.71598686833926</v>
      </c>
      <c r="BL81" s="582">
        <f t="shared" si="186"/>
        <v>-0.00349125364431479</v>
      </c>
      <c r="BM81" s="582">
        <f t="shared" ref="BM81:CR81" si="187">BM126/BM70</f>
        <v>0.386110357072112</v>
      </c>
      <c r="BN81" s="582">
        <f t="shared" si="187"/>
        <v>-0.206169142486243</v>
      </c>
      <c r="BO81" s="582">
        <f t="shared" si="187"/>
        <v>2.26411146231663</v>
      </c>
      <c r="BP81" s="581">
        <f t="shared" si="187"/>
        <v>2.43375086271458</v>
      </c>
      <c r="BQ81" s="582">
        <f t="shared" si="187"/>
        <v>0.0112042139026419</v>
      </c>
      <c r="BR81" s="582">
        <f t="shared" si="187"/>
        <v>0.925414405708764</v>
      </c>
      <c r="BS81" s="582">
        <f t="shared" si="187"/>
        <v>0.256325285361106</v>
      </c>
      <c r="BT81" s="582">
        <f t="shared" si="187"/>
        <v>2.69385875514287</v>
      </c>
      <c r="BU81" s="581">
        <f t="shared" si="187"/>
        <v>3.85883512103366</v>
      </c>
      <c r="BV81" s="582">
        <f t="shared" si="187"/>
        <v>-0.999238599937565</v>
      </c>
      <c r="BW81" s="582">
        <f t="shared" si="187"/>
        <v>0.348019237974354</v>
      </c>
      <c r="BX81" s="582">
        <f t="shared" si="187"/>
        <v>-0.255257826535683</v>
      </c>
      <c r="BY81" s="582">
        <f t="shared" si="187"/>
        <v>3.86092011978976</v>
      </c>
      <c r="BZ81" s="581">
        <f t="shared" si="187"/>
        <v>2.94961828563574</v>
      </c>
      <c r="CA81" s="582">
        <f t="shared" si="187"/>
        <v>-1.3252295436649</v>
      </c>
      <c r="CB81" s="582">
        <f t="shared" si="187"/>
        <v>0.983822506288275</v>
      </c>
      <c r="CC81" s="582">
        <f t="shared" si="187"/>
        <v>-0.311363844673246</v>
      </c>
      <c r="CD81" s="582">
        <f t="shared" si="187"/>
        <v>5.03631754176976</v>
      </c>
      <c r="CE81" s="581">
        <f t="shared" si="187"/>
        <v>4.38685570850574</v>
      </c>
      <c r="CF81" s="582">
        <f t="shared" si="187"/>
        <v>1.14429243266353</v>
      </c>
      <c r="CG81" s="582">
        <f t="shared" si="187"/>
        <v>1.57402099777761</v>
      </c>
      <c r="CH81" s="582">
        <f t="shared" si="187"/>
        <v>0.275407292474786</v>
      </c>
      <c r="CI81" s="582">
        <f t="shared" si="187"/>
        <v>4.65973530592705</v>
      </c>
      <c r="CJ81" s="581">
        <f t="shared" si="187"/>
        <v>7.63362504820875</v>
      </c>
      <c r="CK81" s="582">
        <f t="shared" si="187"/>
        <v>-2.75871511813352</v>
      </c>
      <c r="CL81" s="582">
        <f t="shared" si="187"/>
        <v>-0.368082810814191</v>
      </c>
      <c r="CM81" s="582">
        <f t="shared" si="187"/>
        <v>-0.858942262556722</v>
      </c>
      <c r="CN81" s="582">
        <f t="shared" si="187"/>
        <v>6.56706467817405</v>
      </c>
      <c r="CO81" s="581">
        <f t="shared" si="187"/>
        <v>2.56063928884584</v>
      </c>
      <c r="CP81" s="582">
        <f t="shared" si="187"/>
        <v>-0.716488665658475</v>
      </c>
      <c r="CQ81" s="582">
        <f t="shared" si="187"/>
        <v>2.60247676072386</v>
      </c>
      <c r="CR81" s="582">
        <f t="shared" si="187"/>
        <v>1.79027372406721</v>
      </c>
      <c r="CS81" s="582">
        <f t="shared" ref="CS81:DN81" si="188">CS126/CS70</f>
        <v>9.30280288188081</v>
      </c>
      <c r="CT81" s="581">
        <f t="shared" si="188"/>
        <v>12.9411732298647</v>
      </c>
      <c r="CU81" s="582">
        <f t="shared" si="188"/>
        <v>-0.0249889184397149</v>
      </c>
      <c r="CV81" s="582">
        <f t="shared" si="188"/>
        <v>2.38716291437404</v>
      </c>
      <c r="CW81" s="582">
        <f t="shared" si="188"/>
        <v>0.99489426154084</v>
      </c>
      <c r="CX81" s="582">
        <f t="shared" si="188"/>
        <v>9.56895688912589</v>
      </c>
      <c r="CY81" s="581">
        <f t="shared" si="188"/>
        <v>12.7728149936175</v>
      </c>
      <c r="CZ81" s="582">
        <f t="shared" si="188"/>
        <v>-2.244374932764</v>
      </c>
      <c r="DA81" s="582">
        <f t="shared" si="188"/>
        <v>1.2598429144385</v>
      </c>
      <c r="DB81" s="582">
        <f t="shared" si="188"/>
        <v>0.69541635737904</v>
      </c>
      <c r="DC81" s="582">
        <f t="shared" si="188"/>
        <v>8.18859858698249</v>
      </c>
      <c r="DD81" s="581">
        <f t="shared" si="188"/>
        <v>7.7407610373086</v>
      </c>
      <c r="DE81" s="582">
        <f t="shared" si="188"/>
        <v>0.753883722138514</v>
      </c>
      <c r="DF81" s="582">
        <f t="shared" si="188"/>
        <v>1.99401340784102</v>
      </c>
      <c r="DG81" s="582">
        <f t="shared" si="188"/>
        <v>-3.09597312569579</v>
      </c>
      <c r="DH81" s="582">
        <f t="shared" si="188"/>
        <v>6.66852451874846</v>
      </c>
      <c r="DI81" s="581">
        <f t="shared" si="188"/>
        <v>6.18692208358938</v>
      </c>
      <c r="DJ81" s="582">
        <f t="shared" si="188"/>
        <v>2.5715754984924</v>
      </c>
      <c r="DK81" s="582">
        <f t="shared" si="188"/>
        <v>1.50839902043596</v>
      </c>
      <c r="DL81" s="582">
        <f t="shared" si="188"/>
        <v>-3.35322947443661</v>
      </c>
      <c r="DM81" s="582">
        <f t="shared" si="188"/>
        <v>7.08733806547348</v>
      </c>
      <c r="DN81" s="581">
        <f t="shared" si="188"/>
        <v>7.76729543188623</v>
      </c>
      <c r="DO81" s="582">
        <f t="shared" ref="DO81:DS81" si="189">DO126/DO70</f>
        <v>2.53032962416551</v>
      </c>
      <c r="DP81" s="582">
        <f t="shared" si="189"/>
        <v>1.83573731110803</v>
      </c>
      <c r="DQ81" s="582">
        <f t="shared" si="189"/>
        <v>-3.61085315773953</v>
      </c>
      <c r="DR81" s="582">
        <f t="shared" si="189"/>
        <v>7.28833261584005</v>
      </c>
      <c r="DS81" s="581">
        <f t="shared" si="189"/>
        <v>7.99765344003298</v>
      </c>
    </row>
    <row r="82" s="484" customFormat="1" spans="1:123">
      <c r="A82" s="513"/>
      <c r="B82" s="583" t="s">
        <v>95</v>
      </c>
      <c r="C82" s="584"/>
      <c r="D82" s="585"/>
      <c r="E82" s="585"/>
      <c r="F82" s="585"/>
      <c r="G82" s="585"/>
      <c r="H82" s="584"/>
      <c r="I82" s="585"/>
      <c r="J82" s="585"/>
      <c r="K82" s="585"/>
      <c r="L82" s="585"/>
      <c r="M82" s="584">
        <f>M81/M72</f>
        <v>1.12413427544835</v>
      </c>
      <c r="N82" s="585"/>
      <c r="O82" s="585"/>
      <c r="P82" s="585"/>
      <c r="Q82" s="585"/>
      <c r="R82" s="584">
        <f>R81/R72</f>
        <v>0.238452931689353</v>
      </c>
      <c r="S82" s="585"/>
      <c r="T82" s="585"/>
      <c r="U82" s="585"/>
      <c r="V82" s="585"/>
      <c r="W82" s="584">
        <f>W81/W72</f>
        <v>0.121251415007193</v>
      </c>
      <c r="X82" s="585"/>
      <c r="Y82" s="585"/>
      <c r="Z82" s="585"/>
      <c r="AA82" s="585"/>
      <c r="AB82" s="584">
        <f>AB81/AB72</f>
        <v>1.75403920496658</v>
      </c>
      <c r="AC82" s="585"/>
      <c r="AD82" s="585"/>
      <c r="AE82" s="585"/>
      <c r="AF82" s="585"/>
      <c r="AG82" s="584">
        <f t="shared" ref="AG82:BL82" si="190">AG81/AG72</f>
        <v>1.22808111812355</v>
      </c>
      <c r="AH82" s="585">
        <f t="shared" si="190"/>
        <v>-2.07287546446122</v>
      </c>
      <c r="AI82" s="585">
        <f t="shared" si="190"/>
        <v>0.0359832199900992</v>
      </c>
      <c r="AJ82" s="585">
        <f t="shared" si="190"/>
        <v>0.53162860236119</v>
      </c>
      <c r="AK82" s="585">
        <f t="shared" si="190"/>
        <v>1.82443755270818</v>
      </c>
      <c r="AL82" s="584">
        <f t="shared" si="190"/>
        <v>0.472436068085384</v>
      </c>
      <c r="AM82" s="585">
        <f t="shared" si="190"/>
        <v>0.0698068306069502</v>
      </c>
      <c r="AN82" s="585">
        <f t="shared" si="190"/>
        <v>0.370801440005592</v>
      </c>
      <c r="AO82" s="585">
        <f t="shared" si="190"/>
        <v>0.291803335892247</v>
      </c>
      <c r="AP82" s="585">
        <f t="shared" si="190"/>
        <v>1.33197714285714</v>
      </c>
      <c r="AQ82" s="584">
        <f t="shared" si="190"/>
        <v>0.690740549091501</v>
      </c>
      <c r="AR82" s="585">
        <f t="shared" si="190"/>
        <v>0.0879671735865829</v>
      </c>
      <c r="AS82" s="585">
        <f t="shared" si="190"/>
        <v>0.403063844859648</v>
      </c>
      <c r="AT82" s="585">
        <f t="shared" si="190"/>
        <v>-0.0613664896915795</v>
      </c>
      <c r="AU82" s="585">
        <f t="shared" si="190"/>
        <v>1.35898698173066</v>
      </c>
      <c r="AV82" s="584">
        <f t="shared" si="190"/>
        <v>0.615034323387481</v>
      </c>
      <c r="AW82" s="585">
        <f t="shared" si="190"/>
        <v>0.864106603898939</v>
      </c>
      <c r="AX82" s="585">
        <f t="shared" si="190"/>
        <v>0.540139848668157</v>
      </c>
      <c r="AY82" s="585">
        <f t="shared" si="190"/>
        <v>0.0919256918826811</v>
      </c>
      <c r="AZ82" s="585">
        <f t="shared" si="190"/>
        <v>1.05829341560445</v>
      </c>
      <c r="BA82" s="584">
        <f t="shared" si="190"/>
        <v>0.713943673849516</v>
      </c>
      <c r="BB82" s="585">
        <f t="shared" si="190"/>
        <v>-0.146329219828487</v>
      </c>
      <c r="BC82" s="585">
        <f t="shared" si="190"/>
        <v>-0.544621129478895</v>
      </c>
      <c r="BD82" s="585">
        <f t="shared" si="190"/>
        <v>-1.00254862781878</v>
      </c>
      <c r="BE82" s="585">
        <f t="shared" si="190"/>
        <v>2.02164951965661</v>
      </c>
      <c r="BF82" s="584">
        <f t="shared" si="190"/>
        <v>0.592704436130412</v>
      </c>
      <c r="BG82" s="585">
        <f t="shared" si="190"/>
        <v>0.319767441860465</v>
      </c>
      <c r="BH82" s="585">
        <f t="shared" si="190"/>
        <v>0.300567035079289</v>
      </c>
      <c r="BI82" s="585">
        <f t="shared" si="190"/>
        <v>-0.58252306738001</v>
      </c>
      <c r="BJ82" s="585">
        <f t="shared" si="190"/>
        <v>1.7836056826918</v>
      </c>
      <c r="BK82" s="584">
        <f t="shared" si="190"/>
        <v>0.800023676637009</v>
      </c>
      <c r="BL82" s="585">
        <f t="shared" si="190"/>
        <v>-0.0108097129445746</v>
      </c>
      <c r="BM82" s="585">
        <f t="shared" ref="BM82:CR82" si="191">BM81/BM72</f>
        <v>0.997668290648518</v>
      </c>
      <c r="BN82" s="585">
        <f t="shared" si="191"/>
        <v>-0.371050815058671</v>
      </c>
      <c r="BO82" s="585">
        <f t="shared" si="191"/>
        <v>1.70662786435482</v>
      </c>
      <c r="BP82" s="584">
        <f t="shared" si="191"/>
        <v>0.94051419118878</v>
      </c>
      <c r="BQ82" s="585">
        <f t="shared" si="191"/>
        <v>0.020265325402845</v>
      </c>
      <c r="BR82" s="585">
        <f t="shared" si="191"/>
        <v>1.299947791584</v>
      </c>
      <c r="BS82" s="585">
        <f t="shared" si="191"/>
        <v>0.342562464850968</v>
      </c>
      <c r="BT82" s="585">
        <f t="shared" si="191"/>
        <v>1.45959587696335</v>
      </c>
      <c r="BU82" s="584">
        <f t="shared" si="191"/>
        <v>1.00387006072092</v>
      </c>
      <c r="BV82" s="585">
        <f t="shared" si="191"/>
        <v>-1.35851888657702</v>
      </c>
      <c r="BW82" s="585">
        <f t="shared" si="191"/>
        <v>0.364149131930554</v>
      </c>
      <c r="BX82" s="585">
        <f t="shared" si="191"/>
        <v>-0.265029924909907</v>
      </c>
      <c r="BY82" s="585">
        <f t="shared" si="191"/>
        <v>1.69578318306428</v>
      </c>
      <c r="BZ82" s="584">
        <f t="shared" si="191"/>
        <v>0.598312257201098</v>
      </c>
      <c r="CA82" s="585">
        <f t="shared" si="191"/>
        <v>-6.05420508521934</v>
      </c>
      <c r="CB82" s="585">
        <f t="shared" si="191"/>
        <v>1.33629981931089</v>
      </c>
      <c r="CC82" s="585">
        <f t="shared" si="191"/>
        <v>-0.269470775658061</v>
      </c>
      <c r="CD82" s="585">
        <f t="shared" si="191"/>
        <v>1.954927957649</v>
      </c>
      <c r="CE82" s="584">
        <f t="shared" si="191"/>
        <v>0.935674134870979</v>
      </c>
      <c r="CF82" s="585">
        <f t="shared" si="191"/>
        <v>0.984472702432873</v>
      </c>
      <c r="CG82" s="585">
        <f t="shared" si="191"/>
        <v>0.951854409290815</v>
      </c>
      <c r="CH82" s="585">
        <f t="shared" si="191"/>
        <v>0.169684435694544</v>
      </c>
      <c r="CI82" s="585">
        <f t="shared" si="191"/>
        <v>1.3842266792671</v>
      </c>
      <c r="CJ82" s="584">
        <f t="shared" si="191"/>
        <v>0.979618811798298</v>
      </c>
      <c r="CK82" s="585">
        <f t="shared" si="191"/>
        <v>-1.86637754081622</v>
      </c>
      <c r="CL82" s="585">
        <f t="shared" si="191"/>
        <v>-0.167543291506822</v>
      </c>
      <c r="CM82" s="585">
        <f t="shared" si="191"/>
        <v>-0.429756918620583</v>
      </c>
      <c r="CN82" s="585">
        <f t="shared" si="191"/>
        <v>1.49211084463297</v>
      </c>
      <c r="CO82" s="584">
        <f t="shared" si="191"/>
        <v>0.254319985786892</v>
      </c>
      <c r="CP82" s="585">
        <f t="shared" si="191"/>
        <v>-0.31486716826501</v>
      </c>
      <c r="CQ82" s="585">
        <f t="shared" si="191"/>
        <v>0.969543593001233</v>
      </c>
      <c r="CR82" s="585">
        <f t="shared" si="191"/>
        <v>0.707373480156714</v>
      </c>
      <c r="CS82" s="585">
        <f t="shared" ref="CS82:DN82" si="192">CS81/CS72</f>
        <v>1.75898773354365</v>
      </c>
      <c r="CT82" s="584">
        <f t="shared" si="192"/>
        <v>1.01355100581576</v>
      </c>
      <c r="CU82" s="585">
        <f t="shared" si="192"/>
        <v>-0.00982200914065921</v>
      </c>
      <c r="CV82" s="585">
        <f t="shared" si="192"/>
        <v>0.758557678114231</v>
      </c>
      <c r="CW82" s="585">
        <f t="shared" si="192"/>
        <v>0.347219143433654</v>
      </c>
      <c r="CX82" s="585">
        <f t="shared" si="192"/>
        <v>1.55852929504558</v>
      </c>
      <c r="CY82" s="584">
        <f t="shared" si="192"/>
        <v>0.872625944001375</v>
      </c>
      <c r="CZ82" s="585">
        <f t="shared" si="192"/>
        <v>-0.86217781620742</v>
      </c>
      <c r="DA82" s="585">
        <f t="shared" si="192"/>
        <v>0.406513797333549</v>
      </c>
      <c r="DB82" s="585">
        <f t="shared" si="192"/>
        <v>0.268688383007154</v>
      </c>
      <c r="DC82" s="585">
        <f t="shared" si="192"/>
        <v>1.63523329658477</v>
      </c>
      <c r="DD82" s="584">
        <f t="shared" si="192"/>
        <v>0.583640401397432</v>
      </c>
      <c r="DE82" s="585">
        <f t="shared" si="192"/>
        <v>0.4463516672819</v>
      </c>
      <c r="DF82" s="585">
        <f t="shared" si="192"/>
        <v>0.683919410247765</v>
      </c>
      <c r="DG82" s="585">
        <f t="shared" si="192"/>
        <v>-3.16186614299852</v>
      </c>
      <c r="DH82" s="585">
        <f t="shared" si="192"/>
        <v>1.62007390632675</v>
      </c>
      <c r="DI82" s="584">
        <f t="shared" si="192"/>
        <v>0.641593634103059</v>
      </c>
      <c r="DJ82" s="585">
        <f t="shared" si="192"/>
        <v>1.62557100490979</v>
      </c>
      <c r="DK82" s="585">
        <f t="shared" si="192"/>
        <v>0.793949064129297</v>
      </c>
      <c r="DL82" s="585">
        <f t="shared" si="192"/>
        <v>-3.74735307615827</v>
      </c>
      <c r="DM82" s="585">
        <f t="shared" si="192"/>
        <v>1.75642133492027</v>
      </c>
      <c r="DN82" s="584">
        <f t="shared" si="192"/>
        <v>0.927227044785845</v>
      </c>
      <c r="DO82" s="585">
        <f t="shared" ref="DO82:DS82" si="193">DO81/DO72</f>
        <v>1.59829319419258</v>
      </c>
      <c r="DP82" s="585">
        <f t="shared" si="193"/>
        <v>0.957959498518829</v>
      </c>
      <c r="DQ82" s="585">
        <f t="shared" si="193"/>
        <v>-4.20794109534363</v>
      </c>
      <c r="DR82" s="585">
        <f t="shared" si="193"/>
        <v>1.77407818032875</v>
      </c>
      <c r="DS82" s="584">
        <f t="shared" si="193"/>
        <v>0.948566011888955</v>
      </c>
    </row>
    <row r="83" spans="1:123">
      <c r="B83" s="586"/>
      <c r="C83" s="587"/>
      <c r="D83" s="587"/>
      <c r="E83" s="587"/>
      <c r="F83" s="587"/>
      <c r="G83" s="587"/>
      <c r="H83" s="587"/>
      <c r="I83" s="587"/>
      <c r="J83" s="587"/>
      <c r="K83" s="587"/>
      <c r="L83" s="587"/>
      <c r="M83" s="587"/>
      <c r="N83" s="587"/>
      <c r="O83" s="587"/>
      <c r="P83" s="587"/>
      <c r="Q83" s="587"/>
      <c r="R83" s="587"/>
      <c r="S83" s="587"/>
      <c r="T83" s="587"/>
      <c r="U83" s="587"/>
      <c r="V83" s="587"/>
      <c r="W83" s="587"/>
      <c r="X83" s="587"/>
      <c r="Y83" s="587"/>
      <c r="Z83" s="587"/>
      <c r="AA83" s="587"/>
      <c r="AB83" s="587"/>
      <c r="AC83" s="587"/>
      <c r="AD83" s="587"/>
      <c r="AE83" s="587"/>
      <c r="AF83" s="587"/>
      <c r="AG83" s="587"/>
      <c r="AH83" s="587"/>
      <c r="AI83" s="587"/>
      <c r="AJ83" s="587"/>
      <c r="AK83" s="587"/>
      <c r="AL83" s="587"/>
      <c r="AM83" s="587"/>
      <c r="AN83" s="587"/>
      <c r="AO83" s="587"/>
      <c r="AP83" s="587"/>
      <c r="AQ83" s="587"/>
      <c r="AR83" s="587"/>
      <c r="AS83" s="587"/>
      <c r="AT83" s="587"/>
      <c r="AU83" s="587"/>
      <c r="AV83" s="587"/>
      <c r="AW83" s="587"/>
      <c r="AX83" s="587"/>
      <c r="AY83" s="587"/>
      <c r="AZ83" s="587"/>
      <c r="BA83" s="587"/>
      <c r="BB83" s="587"/>
      <c r="BC83" s="587"/>
      <c r="BD83" s="587"/>
      <c r="BE83" s="587"/>
      <c r="BF83" s="587"/>
      <c r="BG83" s="587"/>
      <c r="BH83" s="587"/>
      <c r="BI83" s="587"/>
      <c r="BJ83" s="587"/>
      <c r="BK83" s="587"/>
      <c r="BL83" s="587"/>
      <c r="BM83" s="587"/>
      <c r="BN83" s="587"/>
      <c r="BO83" s="587"/>
      <c r="BP83" s="587"/>
      <c r="BQ83" s="587"/>
      <c r="BR83" s="587"/>
      <c r="BS83" s="587"/>
      <c r="BT83" s="587"/>
      <c r="BU83" s="587"/>
      <c r="BV83" s="587"/>
      <c r="BW83" s="587"/>
      <c r="BX83" s="587"/>
      <c r="BY83" s="587"/>
      <c r="BZ83" s="587"/>
      <c r="CA83" s="587"/>
      <c r="CB83" s="587"/>
      <c r="CC83" s="587"/>
      <c r="CD83" s="587"/>
      <c r="CE83" s="587"/>
      <c r="CF83" s="587"/>
      <c r="CG83" s="587"/>
      <c r="CH83" s="587"/>
      <c r="CI83" s="587"/>
      <c r="CJ83" s="587"/>
      <c r="CK83" s="587"/>
      <c r="CL83" s="587"/>
      <c r="CM83" s="587"/>
      <c r="CN83" s="587"/>
      <c r="CO83" s="587"/>
      <c r="CP83" s="587"/>
      <c r="CQ83" s="587"/>
      <c r="CR83" s="587"/>
      <c r="CS83" s="587"/>
      <c r="CT83" s="587"/>
      <c r="CU83" s="587"/>
      <c r="CV83" s="587"/>
      <c r="CW83" s="587"/>
      <c r="CX83" s="587"/>
      <c r="CY83" s="587"/>
      <c r="CZ83" s="587"/>
      <c r="DA83" s="587"/>
      <c r="DB83" s="587"/>
      <c r="DC83" s="587"/>
      <c r="DD83" s="587"/>
      <c r="DE83" s="587"/>
      <c r="DF83" s="587"/>
      <c r="DG83" s="587"/>
      <c r="DH83" s="587"/>
      <c r="DI83" s="587"/>
      <c r="DJ83" s="587"/>
      <c r="DK83" s="587"/>
      <c r="DL83" s="587"/>
      <c r="DM83" s="587"/>
      <c r="DN83" s="587"/>
      <c r="DO83" s="587"/>
      <c r="DP83" s="587"/>
      <c r="DQ83" s="587"/>
      <c r="DR83" s="587"/>
      <c r="DS83" s="588"/>
    </row>
    <row r="84" spans="1:123">
      <c r="B84" s="112" t="s">
        <v>96</v>
      </c>
      <c r="C84" s="589"/>
      <c r="D84" s="589"/>
      <c r="E84" s="589"/>
      <c r="F84" s="589"/>
      <c r="G84" s="589"/>
      <c r="H84" s="589"/>
      <c r="I84" s="589"/>
      <c r="J84" s="589"/>
      <c r="K84" s="589"/>
      <c r="L84" s="589"/>
      <c r="M84" s="589"/>
      <c r="N84" s="590"/>
      <c r="O84" s="590"/>
      <c r="P84" s="590"/>
      <c r="Q84" s="590"/>
      <c r="R84" s="589"/>
      <c r="S84" s="590"/>
      <c r="T84" s="590"/>
      <c r="U84" s="590"/>
      <c r="V84" s="590"/>
      <c r="W84" s="589"/>
      <c r="X84" s="590"/>
      <c r="Y84" s="590"/>
      <c r="Z84" s="590"/>
      <c r="AA84" s="590"/>
      <c r="AB84" s="589"/>
      <c r="AC84" s="590"/>
      <c r="AD84" s="590"/>
      <c r="AE84" s="590"/>
      <c r="AF84" s="590"/>
      <c r="AG84" s="589"/>
      <c r="AH84" s="589"/>
      <c r="AI84" s="589"/>
      <c r="AJ84" s="589"/>
      <c r="AK84" s="589"/>
      <c r="AL84" s="589"/>
      <c r="AM84" s="589"/>
      <c r="AN84" s="589"/>
      <c r="AO84" s="589"/>
      <c r="AP84" s="589"/>
      <c r="AQ84" s="589"/>
      <c r="AR84" s="589"/>
      <c r="AS84" s="589"/>
      <c r="AT84" s="589"/>
      <c r="AU84" s="589"/>
      <c r="AV84" s="589"/>
      <c r="AW84" s="589"/>
      <c r="AX84" s="589"/>
      <c r="AY84" s="589"/>
      <c r="AZ84" s="589"/>
      <c r="BA84" s="589"/>
      <c r="BB84" s="589"/>
      <c r="BC84" s="589"/>
      <c r="BD84" s="589"/>
      <c r="BE84" s="589"/>
      <c r="BF84" s="589"/>
      <c r="BG84" s="589"/>
      <c r="BH84" s="589"/>
      <c r="BI84" s="589"/>
      <c r="BJ84" s="589"/>
      <c r="BK84" s="589"/>
      <c r="BL84" s="589"/>
      <c r="BM84" s="589"/>
      <c r="BN84" s="589"/>
      <c r="BO84" s="589"/>
      <c r="BP84" s="589"/>
      <c r="BQ84" s="590"/>
      <c r="BR84" s="590"/>
      <c r="BS84" s="590"/>
      <c r="BT84" s="590"/>
      <c r="BU84" s="589"/>
      <c r="BV84" s="590"/>
      <c r="BW84" s="590"/>
      <c r="BX84" s="590"/>
      <c r="BY84" s="590"/>
      <c r="BZ84" s="589"/>
      <c r="CA84" s="590"/>
      <c r="CB84" s="590"/>
      <c r="CC84" s="590"/>
      <c r="CD84" s="590"/>
      <c r="CE84" s="589"/>
      <c r="CF84" s="590"/>
      <c r="CG84" s="590"/>
      <c r="CH84" s="590"/>
      <c r="CI84" s="590"/>
      <c r="CJ84" s="589"/>
      <c r="CK84" s="590"/>
      <c r="CL84" s="590"/>
      <c r="CM84" s="590"/>
      <c r="CN84" s="590"/>
      <c r="CO84" s="589"/>
      <c r="CP84" s="590"/>
      <c r="CQ84" s="590"/>
      <c r="CR84" s="590"/>
      <c r="CS84" s="590"/>
      <c r="CT84" s="589"/>
      <c r="CU84" s="590"/>
      <c r="CV84" s="590"/>
      <c r="CW84" s="590"/>
      <c r="CX84" s="590"/>
      <c r="CY84" s="589"/>
      <c r="CZ84" s="590"/>
      <c r="DA84" s="590"/>
      <c r="DB84" s="590"/>
      <c r="DC84" s="590"/>
      <c r="DD84" s="591"/>
      <c r="DE84" s="592"/>
      <c r="DF84" s="590"/>
      <c r="DG84" s="590"/>
      <c r="DH84" s="590"/>
      <c r="DI84" s="591"/>
      <c r="DJ84" s="592"/>
      <c r="DK84" s="590"/>
      <c r="DL84" s="590"/>
      <c r="DM84" s="590"/>
      <c r="DN84" s="589"/>
      <c r="DO84" s="590"/>
      <c r="DP84" s="590"/>
      <c r="DQ84" s="590"/>
      <c r="DR84" s="590"/>
      <c r="DS84" s="593"/>
    </row>
    <row r="85" spans="1:123">
      <c r="B85" s="184" t="s">
        <v>97</v>
      </c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  <c r="CQ85" s="117"/>
      <c r="CR85" s="117"/>
      <c r="CS85" s="117"/>
      <c r="CT85" s="117"/>
      <c r="CU85" s="117"/>
      <c r="CV85" s="117"/>
      <c r="CW85" s="117"/>
      <c r="CX85" s="117"/>
      <c r="CY85" s="117"/>
      <c r="CZ85" s="117"/>
      <c r="DA85" s="117"/>
      <c r="DB85" s="117"/>
      <c r="DC85" s="117"/>
      <c r="DD85" s="117"/>
      <c r="DE85" s="117"/>
      <c r="DF85" s="117"/>
      <c r="DG85" s="117"/>
      <c r="DH85" s="117"/>
      <c r="DI85" s="117"/>
      <c r="DJ85" s="117"/>
      <c r="DK85" s="117"/>
      <c r="DL85" s="117"/>
      <c r="DM85" s="117"/>
      <c r="DN85" s="117"/>
      <c r="DO85" s="117"/>
      <c r="DP85" s="117"/>
      <c r="DQ85" s="117"/>
      <c r="DR85" s="117"/>
      <c r="DS85" s="507"/>
    </row>
    <row r="86" spans="1:123">
      <c r="B86" s="198" t="s">
        <v>98</v>
      </c>
      <c r="C86" s="124"/>
      <c r="H86" s="124"/>
      <c r="M86" s="124">
        <f>M129</f>
        <v>11.014791</v>
      </c>
      <c r="R86" s="124">
        <f>R129</f>
        <v>30.8424389999999</v>
      </c>
      <c r="W86" s="124">
        <f>W129</f>
        <v>42.121694</v>
      </c>
      <c r="AB86" s="124">
        <f>AB129</f>
        <v>58.415456</v>
      </c>
      <c r="AG86" s="124">
        <f>AG64</f>
        <v>122.197</v>
      </c>
      <c r="AH86" s="125">
        <f>AH64</f>
        <v>33.516</v>
      </c>
      <c r="AI86" s="125">
        <f>AI64</f>
        <v>38.618</v>
      </c>
      <c r="AJ86" s="125">
        <f>AJ64</f>
        <v>38.941</v>
      </c>
      <c r="AK86" s="125">
        <f>AK64</f>
        <v>73.889</v>
      </c>
      <c r="AL86" s="124">
        <f>AL129</f>
        <v>184.964</v>
      </c>
      <c r="AM86" s="125">
        <f>AM64</f>
        <v>46.974</v>
      </c>
      <c r="AN86" s="125">
        <f>AN64</f>
        <v>57.702</v>
      </c>
      <c r="AO86" s="125">
        <f>AO64</f>
        <v>57.3800000000001</v>
      </c>
      <c r="AP86" s="125">
        <f>AP64</f>
        <v>109.375</v>
      </c>
      <c r="AQ86" s="210">
        <f>AQ129</f>
        <v>271.431</v>
      </c>
      <c r="AR86" s="125">
        <f>AR64</f>
        <v>47.2790000000001</v>
      </c>
      <c r="AS86" s="125">
        <f>AS64</f>
        <v>56.465</v>
      </c>
      <c r="AT86" s="125">
        <f>AT64</f>
        <v>66.111</v>
      </c>
      <c r="AU86" s="125">
        <f>AU64</f>
        <v>109.692</v>
      </c>
      <c r="AV86" s="124">
        <f>AV129</f>
        <v>279.547</v>
      </c>
      <c r="AW86" s="125">
        <f>AW64</f>
        <v>52.681</v>
      </c>
      <c r="AX86" s="125">
        <f>AX64</f>
        <v>48.767</v>
      </c>
      <c r="AY86" s="125">
        <f>AY64</f>
        <v>60.451</v>
      </c>
      <c r="AZ86" s="125">
        <f>AZ64</f>
        <v>110.853</v>
      </c>
      <c r="BA86" s="124">
        <f>BA129</f>
        <v>272.733</v>
      </c>
      <c r="BB86" s="125">
        <f>BB64</f>
        <v>47.81</v>
      </c>
      <c r="BC86" s="125">
        <f>BC64</f>
        <v>47.668</v>
      </c>
      <c r="BD86" s="125">
        <f>BD64</f>
        <v>49.046</v>
      </c>
      <c r="BE86" s="125">
        <f>BE64</f>
        <v>117.416</v>
      </c>
      <c r="BF86" s="124">
        <f>BF129</f>
        <v>261.94</v>
      </c>
      <c r="BG86" s="125">
        <f>BG64</f>
        <v>40.936</v>
      </c>
      <c r="BH86" s="125">
        <f>BH64</f>
        <v>52.025</v>
      </c>
      <c r="BI86" s="125">
        <f>BI64</f>
        <v>64.4850000000001</v>
      </c>
      <c r="BJ86" s="125">
        <f>BJ64</f>
        <v>137.055284</v>
      </c>
      <c r="BK86" s="124">
        <f>BK129</f>
        <v>294.501284</v>
      </c>
      <c r="BL86" s="125">
        <f t="shared" ref="BL86:CQ86" si="194">BL64</f>
        <v>44.312</v>
      </c>
      <c r="BM86" s="125">
        <f t="shared" si="194"/>
        <v>52.7510000000001</v>
      </c>
      <c r="BN86" s="125">
        <f t="shared" si="194"/>
        <v>75.3320000000001</v>
      </c>
      <c r="BO86" s="125">
        <f t="shared" si="194"/>
        <v>180.058</v>
      </c>
      <c r="BP86" s="124">
        <f t="shared" si="194"/>
        <v>352.437</v>
      </c>
      <c r="BQ86" s="125">
        <f t="shared" si="194"/>
        <v>75.153</v>
      </c>
      <c r="BR86" s="125">
        <f t="shared" si="194"/>
        <v>95.77</v>
      </c>
      <c r="BS86" s="125">
        <f t="shared" si="194"/>
        <v>99.576</v>
      </c>
      <c r="BT86" s="125">
        <f t="shared" si="194"/>
        <v>244.48</v>
      </c>
      <c r="BU86" s="124">
        <f t="shared" si="194"/>
        <v>514.979</v>
      </c>
      <c r="BV86" s="125">
        <f t="shared" si="194"/>
        <v>96.603</v>
      </c>
      <c r="BW86" s="125">
        <f t="shared" si="194"/>
        <v>124.99</v>
      </c>
      <c r="BX86" s="125">
        <f t="shared" si="194"/>
        <v>125.982</v>
      </c>
      <c r="BY86" s="125">
        <f t="shared" si="194"/>
        <v>298.021</v>
      </c>
      <c r="BZ86" s="124">
        <f t="shared" si="194"/>
        <v>645.596</v>
      </c>
      <c r="CA86" s="125">
        <f t="shared" si="194"/>
        <v>28.632</v>
      </c>
      <c r="CB86" s="125">
        <f t="shared" si="194"/>
        <v>96.2980000000001</v>
      </c>
      <c r="CC86" s="125">
        <f t="shared" si="194"/>
        <v>151.278</v>
      </c>
      <c r="CD86" s="125">
        <f t="shared" si="194"/>
        <v>337.371</v>
      </c>
      <c r="CE86" s="124">
        <f t="shared" si="194"/>
        <v>613.579</v>
      </c>
      <c r="CF86" s="125">
        <f t="shared" si="194"/>
        <v>152.248</v>
      </c>
      <c r="CG86" s="125">
        <f t="shared" si="194"/>
        <v>215.783</v>
      </c>
      <c r="CH86" s="125">
        <f t="shared" si="194"/>
        <v>211.304</v>
      </c>
      <c r="CI86" s="125">
        <f t="shared" si="194"/>
        <v>435.964</v>
      </c>
      <c r="CJ86" s="124">
        <f t="shared" si="194"/>
        <v>1015.299</v>
      </c>
      <c r="CK86" s="125">
        <f t="shared" si="194"/>
        <v>189.998</v>
      </c>
      <c r="CL86" s="125">
        <f t="shared" si="194"/>
        <v>281.002</v>
      </c>
      <c r="CM86" s="125">
        <f t="shared" si="194"/>
        <v>255.47</v>
      </c>
      <c r="CN86" s="125">
        <f t="shared" si="194"/>
        <v>562.481</v>
      </c>
      <c r="CO86" s="124">
        <f t="shared" si="194"/>
        <v>1288.951</v>
      </c>
      <c r="CP86" s="125">
        <f t="shared" si="194"/>
        <v>290.405</v>
      </c>
      <c r="CQ86" s="125">
        <f t="shared" si="194"/>
        <v>341.603</v>
      </c>
      <c r="CR86" s="125">
        <f t="shared" ref="CR86:DN86" si="195">CR64</f>
        <v>320.839</v>
      </c>
      <c r="CS86" s="125">
        <f t="shared" si="195"/>
        <v>669.468</v>
      </c>
      <c r="CT86" s="124">
        <f t="shared" si="195"/>
        <v>1622.315</v>
      </c>
      <c r="CU86" s="125">
        <f t="shared" si="195"/>
        <v>321.421</v>
      </c>
      <c r="CV86" s="125">
        <f t="shared" si="195"/>
        <v>392.922</v>
      </c>
      <c r="CW86" s="125">
        <f t="shared" si="195"/>
        <v>351.87</v>
      </c>
      <c r="CX86" s="125">
        <f t="shared" si="195"/>
        <v>748.403</v>
      </c>
      <c r="CY86" s="124">
        <f t="shared" si="195"/>
        <v>1814.616</v>
      </c>
      <c r="CZ86" s="125">
        <f t="shared" si="195"/>
        <v>314.572</v>
      </c>
      <c r="DA86" s="125">
        <f t="shared" si="195"/>
        <v>370.905</v>
      </c>
      <c r="DB86" s="125">
        <f t="shared" ref="DB86:DC86" si="196">DB64</f>
        <v>306.835</v>
      </c>
      <c r="DC86" s="125">
        <f t="shared" si="196"/>
        <v>586.871</v>
      </c>
      <c r="DD86" s="124">
        <f t="shared" si="195"/>
        <v>1579.183</v>
      </c>
      <c r="DE86" s="125">
        <f t="shared" ref="DE86:DF86" si="197">DE64</f>
        <v>195.048</v>
      </c>
      <c r="DF86" s="125">
        <f t="shared" si="197"/>
        <v>329.223</v>
      </c>
      <c r="DG86" s="125">
        <f t="shared" si="195"/>
        <v>108.632483150945</v>
      </c>
      <c r="DH86" s="125">
        <f t="shared" si="195"/>
        <v>446.944336754242</v>
      </c>
      <c r="DI86" s="124">
        <f t="shared" si="195"/>
        <v>1079.84781990519</v>
      </c>
      <c r="DJ86" s="125">
        <f t="shared" si="195"/>
        <v>169.831491949796</v>
      </c>
      <c r="DK86" s="125">
        <f t="shared" si="195"/>
        <v>201.698216880905</v>
      </c>
      <c r="DL86" s="125">
        <f t="shared" si="195"/>
        <v>93.9534273593428</v>
      </c>
      <c r="DM86" s="125">
        <f t="shared" si="195"/>
        <v>419.050109689198</v>
      </c>
      <c r="DN86" s="124">
        <f t="shared" si="195"/>
        <v>884.533245879241</v>
      </c>
      <c r="DO86" s="125">
        <f t="shared" ref="DO86:DS86" si="198">DO64</f>
        <v>162.634184786368</v>
      </c>
      <c r="DP86" s="125">
        <f t="shared" si="198"/>
        <v>194.749547374482</v>
      </c>
      <c r="DQ86" s="125">
        <f t="shared" si="198"/>
        <v>86.2814452137036</v>
      </c>
      <c r="DR86" s="125">
        <f t="shared" si="198"/>
        <v>408.732506278539</v>
      </c>
      <c r="DS86" s="124">
        <f t="shared" si="198"/>
        <v>852.397683653093</v>
      </c>
    </row>
    <row r="87" spans="1:123">
      <c r="B87" s="198" t="s">
        <v>99</v>
      </c>
      <c r="C87" s="124"/>
      <c r="H87" s="124"/>
      <c r="M87" s="124">
        <f>M130</f>
        <v>-3.34846000000002</v>
      </c>
      <c r="R87" s="124">
        <f>R130</f>
        <v>1.27344200000007</v>
      </c>
      <c r="W87" s="124">
        <f>W130</f>
        <v>-1.62010199999997</v>
      </c>
      <c r="AB87" s="124">
        <f>AB130</f>
        <v>-0.134456000000021</v>
      </c>
      <c r="AG87" s="124">
        <f>AG130</f>
        <v>0</v>
      </c>
      <c r="AH87" s="125">
        <f>AH70*AH73</f>
        <v>0</v>
      </c>
      <c r="AI87" s="125">
        <f>AI70*AI73</f>
        <v>0</v>
      </c>
      <c r="AJ87" s="125">
        <f>AJ70*AJ73</f>
        <v>0</v>
      </c>
      <c r="AK87" s="125">
        <f>AK70*AK73</f>
        <v>0</v>
      </c>
      <c r="AL87" s="124">
        <f>AL130</f>
        <v>0</v>
      </c>
      <c r="AM87" s="125">
        <f>AM70*AM73</f>
        <v>0</v>
      </c>
      <c r="AN87" s="125">
        <f>AN70*AN73</f>
        <v>0</v>
      </c>
      <c r="AO87" s="125">
        <f>AO70*AO73</f>
        <v>0</v>
      </c>
      <c r="AP87" s="125">
        <f>AP70*AP73</f>
        <v>0</v>
      </c>
      <c r="AQ87" s="124">
        <f>AQ130</f>
        <v>0</v>
      </c>
      <c r="AR87" s="125">
        <f>AR70*AR73</f>
        <v>0</v>
      </c>
      <c r="AS87" s="125">
        <f>AS70*AS73</f>
        <v>0</v>
      </c>
      <c r="AT87" s="125">
        <f>AT70*AT73</f>
        <v>0</v>
      </c>
      <c r="AU87" s="125">
        <f>AU70*AU73</f>
        <v>0</v>
      </c>
      <c r="AV87" s="124">
        <f>AV130</f>
        <v>0</v>
      </c>
      <c r="AW87" s="125">
        <f>AW70*AW73</f>
        <v>-33.7</v>
      </c>
      <c r="AX87" s="125">
        <f>AX70*AX73</f>
        <v>0</v>
      </c>
      <c r="AY87" s="125">
        <f>AY70*AY73</f>
        <v>0</v>
      </c>
      <c r="AZ87" s="125">
        <f>AZ70*AZ73</f>
        <v>0</v>
      </c>
      <c r="BA87" s="124">
        <f>BA130</f>
        <v>-33.7</v>
      </c>
      <c r="BB87" s="125">
        <f>BB70*BB73</f>
        <v>0</v>
      </c>
      <c r="BC87" s="125">
        <f>BC70*BC73</f>
        <v>0</v>
      </c>
      <c r="BD87" s="125">
        <f>BD70*BD73</f>
        <v>4.1</v>
      </c>
      <c r="BE87" s="125">
        <f>BE70*BE73</f>
        <v>0</v>
      </c>
      <c r="BF87" s="124">
        <f>BF130</f>
        <v>4.107</v>
      </c>
      <c r="BG87" s="125">
        <f>BG70*BG73</f>
        <v>4.40000000000003</v>
      </c>
      <c r="BH87" s="125">
        <f>BH70*BH73</f>
        <v>1.6</v>
      </c>
      <c r="BI87" s="125">
        <f>BI70*BI73</f>
        <v>3.8</v>
      </c>
      <c r="BJ87" s="125">
        <f>BJ70*BJ73</f>
        <v>-0.922</v>
      </c>
      <c r="BK87" s="124">
        <f>BK130</f>
        <v>9.06841661466139</v>
      </c>
      <c r="BL87" s="125">
        <f t="shared" ref="BL87:BT87" si="199">BL73*BL70</f>
        <v>-13.066</v>
      </c>
      <c r="BM87" s="125">
        <f t="shared" si="199"/>
        <v>-4.04</v>
      </c>
      <c r="BN87" s="125">
        <f t="shared" si="199"/>
        <v>-16.372</v>
      </c>
      <c r="BO87" s="125">
        <f t="shared" si="199"/>
        <v>-60.297</v>
      </c>
      <c r="BP87" s="124">
        <f t="shared" si="199"/>
        <v>-93.776</v>
      </c>
      <c r="BQ87" s="125">
        <f t="shared" si="199"/>
        <v>0</v>
      </c>
      <c r="BR87" s="125">
        <f t="shared" si="199"/>
        <v>0</v>
      </c>
      <c r="BS87" s="125">
        <f t="shared" si="199"/>
        <v>-5.163</v>
      </c>
      <c r="BT87" s="125">
        <f t="shared" si="199"/>
        <v>-26.015</v>
      </c>
      <c r="BU87" s="124">
        <f>SUM(BQ87:BT87)</f>
        <v>-31.178</v>
      </c>
      <c r="BV87" s="125">
        <f>BV73*BV70</f>
        <v>0</v>
      </c>
      <c r="BW87" s="125">
        <f>BW73*BW70</f>
        <v>0</v>
      </c>
      <c r="BX87" s="125">
        <f>BX73*BX70</f>
        <v>0</v>
      </c>
      <c r="BY87" s="125">
        <f>BY73*BY70</f>
        <v>0</v>
      </c>
      <c r="BZ87" s="124">
        <f>SUM(BV87:BY87)</f>
        <v>0</v>
      </c>
      <c r="CA87" s="125">
        <f>CA73*CA70</f>
        <v>0</v>
      </c>
      <c r="CB87" s="125">
        <f>CB73*CB70</f>
        <v>-9.497</v>
      </c>
      <c r="CC87" s="125">
        <f>CC73*CC70</f>
        <v>-7.635</v>
      </c>
      <c r="CD87" s="125">
        <f>CD73*CD70</f>
        <v>-7.532</v>
      </c>
      <c r="CE87" s="124">
        <f>SUM(CA87:CD87)</f>
        <v>-24.664</v>
      </c>
      <c r="CF87" s="125">
        <f>CF73*CF70</f>
        <v>-7.292</v>
      </c>
      <c r="CG87" s="125">
        <f>CG73*CG70</f>
        <v>-7.709</v>
      </c>
      <c r="CH87" s="125">
        <f>CH73*CH70</f>
        <v>-23.516</v>
      </c>
      <c r="CI87" s="125">
        <f>CI73*CI70</f>
        <v>-1.46</v>
      </c>
      <c r="CJ87" s="124">
        <f>SUM(CF87:CI87)</f>
        <v>-39.977</v>
      </c>
      <c r="CK87" s="125">
        <f>CK73*CK70</f>
        <v>0</v>
      </c>
      <c r="CL87" s="125">
        <f>CL73*CL70</f>
        <v>8.519</v>
      </c>
      <c r="CM87" s="125">
        <f>CM73*CM70</f>
        <v>0</v>
      </c>
      <c r="CN87" s="125">
        <f>CN73*CN70</f>
        <v>-442.67</v>
      </c>
      <c r="CO87" s="124">
        <f>SUM(CK87:CN87)</f>
        <v>-434.151</v>
      </c>
      <c r="CP87" s="125">
        <f>CP73*CP70</f>
        <v>0</v>
      </c>
      <c r="CQ87" s="125">
        <f>CQ73*CQ70</f>
        <v>0</v>
      </c>
      <c r="CR87" s="125">
        <f>CR73*CR70</f>
        <v>-72.125</v>
      </c>
      <c r="CS87" s="125">
        <f>CS73*CS70</f>
        <v>0</v>
      </c>
      <c r="CT87" s="124">
        <f>SUM(CP87:CS87)</f>
        <v>-72.125</v>
      </c>
      <c r="CU87" s="125">
        <f>CU73*CU70</f>
        <v>0</v>
      </c>
      <c r="CV87" s="125">
        <f>CV73*CV70</f>
        <v>0</v>
      </c>
      <c r="CW87" s="125">
        <f>CW73*CW70</f>
        <v>0</v>
      </c>
      <c r="CX87" s="125">
        <f>CX73*CX70</f>
        <v>0</v>
      </c>
      <c r="CY87" s="124">
        <f>SUM(CU87:CX87)</f>
        <v>0</v>
      </c>
      <c r="CZ87" s="125">
        <f>CZ73*CZ70</f>
        <v>0</v>
      </c>
      <c r="DA87" s="125">
        <f>DA73*DA70</f>
        <v>0</v>
      </c>
      <c r="DB87" s="125">
        <f>DB73*DB70</f>
        <v>0</v>
      </c>
      <c r="DC87" s="125">
        <f>DC73*DC70</f>
        <v>0</v>
      </c>
      <c r="DD87" s="124">
        <f>SUM(CZ87:DC87)</f>
        <v>0</v>
      </c>
      <c r="DE87" s="125">
        <f>DE73*DE70</f>
        <v>0</v>
      </c>
      <c r="DF87" s="125">
        <f>DF73*DF70</f>
        <v>0</v>
      </c>
      <c r="DG87" s="125">
        <f>DG73*DG70</f>
        <v>0</v>
      </c>
      <c r="DH87" s="125">
        <f>DH73*DH70</f>
        <v>0</v>
      </c>
      <c r="DI87" s="124">
        <f>SUM(DE87:DH87)</f>
        <v>0</v>
      </c>
      <c r="DJ87" s="125">
        <f>DJ73*DJ70</f>
        <v>0</v>
      </c>
      <c r="DK87" s="125">
        <f>DK73*DK70</f>
        <v>0</v>
      </c>
      <c r="DL87" s="125">
        <f>DL73*DL70</f>
        <v>0</v>
      </c>
      <c r="DM87" s="125">
        <f>DM73*DM70</f>
        <v>0</v>
      </c>
      <c r="DN87" s="124">
        <f>SUM(DJ87:DM87)</f>
        <v>0</v>
      </c>
      <c r="DO87" s="125">
        <f>DO73*DO70</f>
        <v>0</v>
      </c>
      <c r="DP87" s="125">
        <f>DP73*DP70</f>
        <v>0</v>
      </c>
      <c r="DQ87" s="125">
        <f>DQ73*DQ70</f>
        <v>0</v>
      </c>
      <c r="DR87" s="125">
        <f>DR73*DR70</f>
        <v>0</v>
      </c>
      <c r="DS87" s="124">
        <f>SUM(DO87:DR87)</f>
        <v>0</v>
      </c>
    </row>
    <row r="88" spans="1:123">
      <c r="B88" s="198"/>
      <c r="C88" s="124"/>
      <c r="H88" s="124"/>
      <c r="M88" s="124"/>
      <c r="R88" s="124"/>
      <c r="W88" s="124"/>
      <c r="AB88" s="124"/>
      <c r="AG88" s="124"/>
      <c r="AL88" s="124"/>
      <c r="AQ88" s="124"/>
      <c r="AR88" s="514"/>
      <c r="AS88" s="514"/>
      <c r="AT88" s="514"/>
      <c r="AU88" s="514"/>
      <c r="AV88" s="124"/>
      <c r="AW88" s="559"/>
      <c r="AX88" s="559"/>
      <c r="AY88" s="559"/>
      <c r="AZ88" s="559"/>
      <c r="BA88" s="124"/>
      <c r="BB88" s="514"/>
      <c r="BC88" s="514"/>
      <c r="BD88" s="514"/>
      <c r="BE88" s="514"/>
      <c r="BF88" s="124"/>
      <c r="BI88" s="209"/>
      <c r="BK88" s="124"/>
      <c r="BO88" s="172"/>
      <c r="BP88" s="124"/>
      <c r="BU88" s="124"/>
      <c r="BZ88" s="124"/>
      <c r="CE88" s="124"/>
      <c r="CJ88" s="124"/>
      <c r="CK88" s="172"/>
      <c r="CO88" s="124"/>
      <c r="CP88" s="172"/>
      <c r="CT88" s="124"/>
      <c r="CU88" s="172"/>
      <c r="CY88" s="124"/>
      <c r="CZ88" s="172"/>
      <c r="DD88" s="124"/>
      <c r="DE88" s="172"/>
      <c r="DI88" s="124"/>
      <c r="DN88" s="124"/>
      <c r="DS88" s="124"/>
    </row>
    <row r="89" spans="1:123">
      <c r="B89" s="198" t="s">
        <v>100</v>
      </c>
      <c r="C89" s="124"/>
      <c r="H89" s="124"/>
      <c r="M89" s="571">
        <f>M132</f>
        <v>7.976377</v>
      </c>
      <c r="R89" s="124">
        <f>R132</f>
        <v>32.115881</v>
      </c>
      <c r="W89" s="124">
        <f>W132</f>
        <v>40.501592</v>
      </c>
      <c r="AB89" s="124">
        <f>AB132</f>
        <v>58.281</v>
      </c>
      <c r="AG89" s="124">
        <f t="shared" ref="AG89:AH92" si="200">AG132</f>
        <v>122.197</v>
      </c>
      <c r="AH89" s="125">
        <f>AH87+AH86</f>
        <v>33.516</v>
      </c>
      <c r="AI89" s="125">
        <f>AI87+AI86</f>
        <v>38.618</v>
      </c>
      <c r="AJ89" s="125">
        <f>AJ87+AJ86</f>
        <v>38.941</v>
      </c>
      <c r="AK89" s="125">
        <f>AK87+AK86</f>
        <v>73.889</v>
      </c>
      <c r="AL89" s="124">
        <f t="shared" ref="AL89:AM92" si="201">AL132</f>
        <v>184.964</v>
      </c>
      <c r="AM89" s="125">
        <f>AM87+AM86</f>
        <v>46.974</v>
      </c>
      <c r="AN89" s="125">
        <f>AN87+AN86</f>
        <v>57.702</v>
      </c>
      <c r="AO89" s="125">
        <f>AO87+AO86</f>
        <v>57.3800000000001</v>
      </c>
      <c r="AP89" s="125">
        <f>AP87+AP86</f>
        <v>109.375</v>
      </c>
      <c r="AQ89" s="210">
        <f t="shared" ref="AQ89:AR92" si="202">AQ132</f>
        <v>271.431</v>
      </c>
      <c r="AR89" s="125">
        <f>AR87+AR86</f>
        <v>47.2790000000001</v>
      </c>
      <c r="AS89" s="125">
        <f>AS87+AS86</f>
        <v>56.465</v>
      </c>
      <c r="AT89" s="125">
        <f>AT87+AT86</f>
        <v>66.111</v>
      </c>
      <c r="AU89" s="125">
        <f>AU87+AU86</f>
        <v>109.692</v>
      </c>
      <c r="AV89" s="124">
        <f t="shared" ref="AV89:AW92" si="203">AV132</f>
        <v>279.547</v>
      </c>
      <c r="AW89" s="125">
        <f>AW87+AW86</f>
        <v>18.981</v>
      </c>
      <c r="AX89" s="125">
        <f>AX87+AX86</f>
        <v>48.767</v>
      </c>
      <c r="AY89" s="125">
        <f>AY87+AY86</f>
        <v>60.451</v>
      </c>
      <c r="AZ89" s="125">
        <f>AZ87+AZ86</f>
        <v>110.853</v>
      </c>
      <c r="BA89" s="124">
        <f t="shared" ref="BA89:BB92" si="204">BA132</f>
        <v>239.033</v>
      </c>
      <c r="BB89" s="125">
        <f>BB87+BB86</f>
        <v>47.81</v>
      </c>
      <c r="BC89" s="125">
        <f>BC87+BC86</f>
        <v>47.668</v>
      </c>
      <c r="BD89" s="125">
        <f>BD87+BD86</f>
        <v>53.146</v>
      </c>
      <c r="BE89" s="125">
        <f>BE87+BE86</f>
        <v>117.416</v>
      </c>
      <c r="BF89" s="124">
        <f t="shared" ref="BF89:BG92" si="205">BF132</f>
        <v>266.047</v>
      </c>
      <c r="BG89" s="125">
        <f>BG87+BG86</f>
        <v>45.336</v>
      </c>
      <c r="BH89" s="125">
        <f>BH87+BH86</f>
        <v>53.625</v>
      </c>
      <c r="BI89" s="125">
        <f>BI87+BI86</f>
        <v>68.2850000000001</v>
      </c>
      <c r="BJ89" s="125">
        <f>BJ87+BJ86</f>
        <v>136.133284</v>
      </c>
      <c r="BK89" s="124">
        <f t="shared" ref="BK89:BL92" si="206">BK132</f>
        <v>303.569700614661</v>
      </c>
      <c r="BL89" s="125">
        <f>BL87+BL86</f>
        <v>31.246</v>
      </c>
      <c r="BM89" s="125">
        <f>BM87+BM86</f>
        <v>48.7110000000001</v>
      </c>
      <c r="BN89" s="125">
        <f>BN87+BN86</f>
        <v>58.9600000000001</v>
      </c>
      <c r="BO89" s="125">
        <f>BO87+BO86</f>
        <v>119.761</v>
      </c>
      <c r="BP89" s="124">
        <f>SUM(BP86:BP87)</f>
        <v>258.661</v>
      </c>
      <c r="BQ89" s="125">
        <f>BQ87+BQ86</f>
        <v>75.153</v>
      </c>
      <c r="BR89" s="125">
        <f>BR87+BR86</f>
        <v>95.77</v>
      </c>
      <c r="BS89" s="125">
        <f t="shared" ref="BS89:BZ89" si="207">BS86+BS87</f>
        <v>94.413</v>
      </c>
      <c r="BT89" s="125">
        <f>BT87+BT86</f>
        <v>218.465</v>
      </c>
      <c r="BU89" s="124">
        <f>SUM(BU86:BU87)</f>
        <v>483.801</v>
      </c>
      <c r="BV89" s="125">
        <f>BV87+BV86</f>
        <v>96.603</v>
      </c>
      <c r="BW89" s="125">
        <f t="shared" si="207"/>
        <v>124.99</v>
      </c>
      <c r="BX89" s="125">
        <f t="shared" si="207"/>
        <v>125.982</v>
      </c>
      <c r="BY89" s="125">
        <f t="shared" si="207"/>
        <v>298.021</v>
      </c>
      <c r="BZ89" s="124">
        <f t="shared" si="207"/>
        <v>645.596</v>
      </c>
      <c r="CA89" s="125">
        <f>CA87+CA86</f>
        <v>28.632</v>
      </c>
      <c r="CB89" s="125">
        <f>CB86+CB87</f>
        <v>86.8010000000001</v>
      </c>
      <c r="CC89" s="125">
        <f>CC86+CC87</f>
        <v>143.643</v>
      </c>
      <c r="CD89" s="125">
        <f>CD86+CD87</f>
        <v>329.839</v>
      </c>
      <c r="CE89" s="124">
        <f>CE86+CE87</f>
        <v>588.915</v>
      </c>
      <c r="CF89" s="125">
        <f>CF87+CF86</f>
        <v>144.956</v>
      </c>
      <c r="CG89" s="125">
        <f>CG86+CG87</f>
        <v>208.074</v>
      </c>
      <c r="CH89" s="125">
        <f>CH86+CH87</f>
        <v>187.788</v>
      </c>
      <c r="CI89" s="125">
        <f>CI86+CI87</f>
        <v>434.504</v>
      </c>
      <c r="CJ89" s="124">
        <f>CJ86+CJ87</f>
        <v>975.322</v>
      </c>
      <c r="CK89" s="172">
        <f>CK87+CK86</f>
        <v>189.998</v>
      </c>
      <c r="CL89" s="125">
        <f>CL86+CL87</f>
        <v>289.521</v>
      </c>
      <c r="CM89" s="125">
        <f>CM86+CM87</f>
        <v>255.47</v>
      </c>
      <c r="CN89" s="125">
        <f>CN86+CN87</f>
        <v>119.811</v>
      </c>
      <c r="CO89" s="124">
        <f>CO86+CO87</f>
        <v>854.8</v>
      </c>
      <c r="CP89" s="172">
        <f>CP87+CP86</f>
        <v>290.405</v>
      </c>
      <c r="CQ89" s="125">
        <f>CQ86+CQ87</f>
        <v>341.603</v>
      </c>
      <c r="CR89" s="125">
        <f>CR86+CR87</f>
        <v>248.714</v>
      </c>
      <c r="CS89" s="125">
        <f>CS86+CS87</f>
        <v>669.468</v>
      </c>
      <c r="CT89" s="124">
        <f>CT86+CT87</f>
        <v>1550.19</v>
      </c>
      <c r="CU89" s="172">
        <f>CU87+CU86</f>
        <v>321.421</v>
      </c>
      <c r="CV89" s="125">
        <f t="shared" ref="CV89:DI89" si="208">CV86+CV87</f>
        <v>392.922</v>
      </c>
      <c r="CW89" s="125">
        <f t="shared" si="208"/>
        <v>351.87</v>
      </c>
      <c r="CX89" s="125">
        <f t="shared" si="208"/>
        <v>748.403</v>
      </c>
      <c r="CY89" s="124">
        <f t="shared" si="208"/>
        <v>1814.616</v>
      </c>
      <c r="CZ89" s="172">
        <f>CZ87+CZ86</f>
        <v>314.572</v>
      </c>
      <c r="DA89" s="125">
        <f t="shared" ref="DA89:DC89" si="209">DA86+DA87</f>
        <v>370.905</v>
      </c>
      <c r="DB89" s="125">
        <f t="shared" si="209"/>
        <v>306.835</v>
      </c>
      <c r="DC89" s="125">
        <f t="shared" si="209"/>
        <v>586.871</v>
      </c>
      <c r="DD89" s="124">
        <f t="shared" si="208"/>
        <v>1579.183</v>
      </c>
      <c r="DE89" s="172">
        <f>DE87+DE86</f>
        <v>195.048</v>
      </c>
      <c r="DF89" s="125">
        <f t="shared" ref="DF89" si="210">DF86+DF87</f>
        <v>329.223</v>
      </c>
      <c r="DG89" s="125">
        <f t="shared" si="208"/>
        <v>108.632483150945</v>
      </c>
      <c r="DH89" s="125">
        <f t="shared" si="208"/>
        <v>446.944336754242</v>
      </c>
      <c r="DI89" s="124">
        <f t="shared" si="208"/>
        <v>1079.84781990519</v>
      </c>
      <c r="DJ89" s="125">
        <f t="shared" ref="DJ89:DN89" si="211">DJ86+DJ87</f>
        <v>169.831491949796</v>
      </c>
      <c r="DK89" s="125">
        <f t="shared" si="211"/>
        <v>201.698216880905</v>
      </c>
      <c r="DL89" s="125">
        <f t="shared" si="211"/>
        <v>93.9534273593428</v>
      </c>
      <c r="DM89" s="125">
        <f t="shared" si="211"/>
        <v>419.050109689198</v>
      </c>
      <c r="DN89" s="124">
        <f t="shared" si="211"/>
        <v>884.533245879241</v>
      </c>
      <c r="DO89" s="125">
        <f t="shared" ref="DO89:DS89" si="212">DO86+DO87</f>
        <v>162.634184786368</v>
      </c>
      <c r="DP89" s="125">
        <f t="shared" si="212"/>
        <v>194.749547374482</v>
      </c>
      <c r="DQ89" s="125">
        <f t="shared" si="212"/>
        <v>86.2814452137036</v>
      </c>
      <c r="DR89" s="125">
        <f t="shared" si="212"/>
        <v>408.732506278539</v>
      </c>
      <c r="DS89" s="124">
        <f t="shared" si="212"/>
        <v>852.397683653093</v>
      </c>
    </row>
    <row r="90" spans="1:123">
      <c r="B90" s="198" t="s">
        <v>101</v>
      </c>
      <c r="C90" s="594">
        <v>1.123</v>
      </c>
      <c r="D90" s="595">
        <v>0.6165745</v>
      </c>
      <c r="E90" s="595">
        <v>0.6165745</v>
      </c>
      <c r="F90" s="595">
        <v>0.6165745</v>
      </c>
      <c r="G90" s="595">
        <v>0.6165745</v>
      </c>
      <c r="H90" s="594">
        <v>2.466298</v>
      </c>
      <c r="I90" s="595">
        <v>0.893</v>
      </c>
      <c r="J90" s="595">
        <v>1</v>
      </c>
      <c r="K90" s="595">
        <v>1.2</v>
      </c>
      <c r="L90" s="595">
        <v>1.525512</v>
      </c>
      <c r="M90" s="124">
        <f>M133</f>
        <v>4.586646</v>
      </c>
      <c r="N90" s="595">
        <v>1.503738</v>
      </c>
      <c r="O90" s="595">
        <v>1.864801</v>
      </c>
      <c r="P90" s="595">
        <v>2.125247</v>
      </c>
      <c r="Q90" s="595">
        <v>2.797468</v>
      </c>
      <c r="R90" s="124">
        <f>R133</f>
        <v>8.291254</v>
      </c>
      <c r="S90" s="595">
        <v>3.38106</v>
      </c>
      <c r="T90" s="595">
        <v>3.817848</v>
      </c>
      <c r="U90" s="595">
        <v>3.903516</v>
      </c>
      <c r="V90" s="595">
        <v>4.720526</v>
      </c>
      <c r="W90" s="124">
        <f>W133</f>
        <v>15.82295</v>
      </c>
      <c r="X90" s="595">
        <v>4.278</v>
      </c>
      <c r="Y90" s="595">
        <v>5.274</v>
      </c>
      <c r="Z90" s="595">
        <v>5.684</v>
      </c>
      <c r="AA90" s="595">
        <v>5.596</v>
      </c>
      <c r="AB90" s="124">
        <f>AB133</f>
        <v>20.832</v>
      </c>
      <c r="AC90" s="595">
        <v>5.388</v>
      </c>
      <c r="AD90" s="595">
        <v>6.602</v>
      </c>
      <c r="AE90" s="595">
        <v>6.426</v>
      </c>
      <c r="AF90" s="595">
        <v>6.198</v>
      </c>
      <c r="AG90" s="124">
        <f t="shared" si="200"/>
        <v>24.614</v>
      </c>
      <c r="AH90" s="125">
        <f t="shared" si="200"/>
        <v>6.041</v>
      </c>
      <c r="AI90" s="125">
        <f>AI133-AH133</f>
        <v>7.52</v>
      </c>
      <c r="AJ90" s="125">
        <f>AJ133-AI133</f>
        <v>7.327</v>
      </c>
      <c r="AK90" s="125">
        <f>AK133-AJ133</f>
        <v>9.371</v>
      </c>
      <c r="AL90" s="124">
        <f t="shared" si="201"/>
        <v>30.259</v>
      </c>
      <c r="AM90" s="125">
        <f t="shared" si="201"/>
        <v>9.798</v>
      </c>
      <c r="AN90" s="125">
        <f t="shared" ref="AN90:AP92" si="213">AN133-AM133</f>
        <v>9.681</v>
      </c>
      <c r="AO90" s="125">
        <f t="shared" si="213"/>
        <v>11.483</v>
      </c>
      <c r="AP90" s="125">
        <f t="shared" si="213"/>
        <v>12.038</v>
      </c>
      <c r="AQ90" s="124">
        <f t="shared" si="202"/>
        <v>43</v>
      </c>
      <c r="AR90" s="125">
        <f t="shared" si="202"/>
        <v>11.729</v>
      </c>
      <c r="AS90" s="125">
        <f t="shared" ref="AS90:AU92" si="214">AS133-AR133</f>
        <v>12.078</v>
      </c>
      <c r="AT90" s="125">
        <f t="shared" si="214"/>
        <v>12.916</v>
      </c>
      <c r="AU90" s="125">
        <f t="shared" si="214"/>
        <v>12.345</v>
      </c>
      <c r="AV90" s="124">
        <f t="shared" si="203"/>
        <v>49.068</v>
      </c>
      <c r="AW90" s="125">
        <f t="shared" si="203"/>
        <v>12.46</v>
      </c>
      <c r="AX90" s="125">
        <f t="shared" ref="AX90:AZ92" si="215">AX133-AW133</f>
        <v>13.637</v>
      </c>
      <c r="AY90" s="125">
        <f t="shared" si="215"/>
        <v>15.612</v>
      </c>
      <c r="AZ90" s="125">
        <f t="shared" si="215"/>
        <v>16.655</v>
      </c>
      <c r="BA90" s="124">
        <f t="shared" si="204"/>
        <v>58.364</v>
      </c>
      <c r="BB90" s="125">
        <f t="shared" si="204"/>
        <v>16.096</v>
      </c>
      <c r="BC90" s="125">
        <f t="shared" ref="BC90:BE92" si="216">BC133-BB133</f>
        <v>16.695</v>
      </c>
      <c r="BD90" s="125">
        <f t="shared" si="216"/>
        <v>19.707</v>
      </c>
      <c r="BE90" s="125">
        <f t="shared" si="216"/>
        <v>20.885</v>
      </c>
      <c r="BF90" s="124">
        <f t="shared" si="205"/>
        <v>73.383</v>
      </c>
      <c r="BG90" s="125">
        <f t="shared" si="205"/>
        <v>19.185</v>
      </c>
      <c r="BH90" s="125">
        <f t="shared" ref="BH90:BJ92" si="217">BH133-BG133</f>
        <v>20.498</v>
      </c>
      <c r="BI90" s="125">
        <f t="shared" si="217"/>
        <v>23.958</v>
      </c>
      <c r="BJ90" s="125">
        <f t="shared" si="217"/>
        <v>24.056</v>
      </c>
      <c r="BK90" s="124">
        <f t="shared" si="206"/>
        <v>87.697</v>
      </c>
      <c r="BL90" s="125">
        <f t="shared" si="206"/>
        <v>23.163</v>
      </c>
      <c r="BM90" s="125">
        <f t="shared" ref="BM90:BO92" si="218">BM133-BL133</f>
        <v>28.406</v>
      </c>
      <c r="BN90" s="125">
        <f t="shared" si="218"/>
        <v>28.56</v>
      </c>
      <c r="BO90" s="125">
        <f t="shared" si="218"/>
        <v>28.106</v>
      </c>
      <c r="BP90" s="124">
        <f t="shared" ref="BP90:BQ92" si="219">BP133</f>
        <v>108.235</v>
      </c>
      <c r="BQ90" s="125">
        <f t="shared" si="219"/>
        <v>26.773</v>
      </c>
      <c r="BR90" s="125">
        <f t="shared" ref="BR90:BS92" si="220">BR133-BQ133</f>
        <v>28.656</v>
      </c>
      <c r="BS90" s="125">
        <f t="shared" si="220"/>
        <v>31.686</v>
      </c>
      <c r="BT90" s="125">
        <f>BT133-BS133</f>
        <v>35.369</v>
      </c>
      <c r="BU90" s="124">
        <f t="shared" ref="BU90:BV92" si="221">BU133</f>
        <v>122.484</v>
      </c>
      <c r="BV90" s="125">
        <f t="shared" si="221"/>
        <v>32.823</v>
      </c>
      <c r="BW90" s="125">
        <f t="shared" ref="BW90:BY92" si="222">BW133-BV133</f>
        <v>37.599</v>
      </c>
      <c r="BX90" s="125">
        <f t="shared" si="222"/>
        <v>44.022</v>
      </c>
      <c r="BY90" s="125">
        <f t="shared" si="222"/>
        <v>47.489</v>
      </c>
      <c r="BZ90" s="124">
        <f>SUM(BV90:BY90)</f>
        <v>161.933</v>
      </c>
      <c r="CA90" s="125">
        <f>CA133</f>
        <v>43.532</v>
      </c>
      <c r="CB90" s="125">
        <f t="shared" ref="CB90:CC92" si="223">CB133-CA133</f>
        <v>40.644</v>
      </c>
      <c r="CC90" s="125">
        <f t="shared" si="223"/>
        <v>49.033</v>
      </c>
      <c r="CD90" s="125">
        <f>CD133-CC133</f>
        <v>52.269</v>
      </c>
      <c r="CE90" s="124">
        <f>SUM(CA90:CD90)</f>
        <v>185.478</v>
      </c>
      <c r="CF90" s="125">
        <f>CF133</f>
        <v>50.485</v>
      </c>
      <c r="CG90" s="125">
        <f t="shared" ref="CG90:CI92" si="224">CG133-CF133</f>
        <v>53.638</v>
      </c>
      <c r="CH90" s="125">
        <f t="shared" si="224"/>
        <v>57.963</v>
      </c>
      <c r="CI90" s="125">
        <f t="shared" si="224"/>
        <v>62.12</v>
      </c>
      <c r="CJ90" s="124">
        <f>SUM(CF90:CI90)</f>
        <v>224.206</v>
      </c>
      <c r="CK90" s="172">
        <f>CK133</f>
        <v>64.47</v>
      </c>
      <c r="CL90" s="125">
        <f t="shared" ref="CL90:CN92" si="225">CL133-CK133</f>
        <v>67.971</v>
      </c>
      <c r="CM90" s="125">
        <f t="shared" si="225"/>
        <v>79.188</v>
      </c>
      <c r="CN90" s="125">
        <f t="shared" si="225"/>
        <v>80.162</v>
      </c>
      <c r="CO90" s="124">
        <f>SUM(CK90:CN90)</f>
        <v>291.791</v>
      </c>
      <c r="CP90" s="172">
        <f>CP133</f>
        <v>84.116</v>
      </c>
      <c r="CQ90" s="125">
        <f t="shared" ref="CQ90:CS92" si="226">CQ133-CP133</f>
        <v>94.009</v>
      </c>
      <c r="CR90" s="125">
        <f t="shared" si="226"/>
        <v>97.969</v>
      </c>
      <c r="CS90" s="125">
        <f t="shared" si="226"/>
        <v>103.29</v>
      </c>
      <c r="CT90" s="124">
        <f>SUM(CP90:CS90)</f>
        <v>379.384</v>
      </c>
      <c r="CU90" s="172">
        <f>CU133</f>
        <v>95.759</v>
      </c>
      <c r="CV90" s="125">
        <f>CV133-CU133</f>
        <v>103.573</v>
      </c>
      <c r="CW90" s="125">
        <f t="shared" ref="CW90:CX92" si="227">CW133-CV133</f>
        <v>113.599</v>
      </c>
      <c r="CX90" s="125">
        <f t="shared" si="227"/>
        <v>133.593</v>
      </c>
      <c r="CY90" s="124">
        <f>SUM(CU90:CX90)</f>
        <v>446.524</v>
      </c>
      <c r="CZ90" s="172">
        <f>CZ133</f>
        <v>114.529</v>
      </c>
      <c r="DA90" s="125">
        <f>DA133-CZ133</f>
        <v>119.715</v>
      </c>
      <c r="DB90" s="125">
        <f t="shared" ref="DB90:DC92" si="228">DB133-DA133</f>
        <v>127.459</v>
      </c>
      <c r="DC90" s="125">
        <f t="shared" si="228"/>
        <v>134.525</v>
      </c>
      <c r="DD90" s="124">
        <f>SUM(CZ90:DC90)</f>
        <v>496.228</v>
      </c>
      <c r="DE90" s="172">
        <f>DE133</f>
        <v>135.335</v>
      </c>
      <c r="DF90" s="125">
        <f>DF133-DE133</f>
        <v>142.332</v>
      </c>
      <c r="DG90" s="125">
        <f>DB90*(1+DG223)</f>
        <v>150.40162</v>
      </c>
      <c r="DH90" s="125">
        <f>DC90*(1+DH223)</f>
        <v>158.7395</v>
      </c>
      <c r="DI90" s="124">
        <f>SUM(DE90:DH90)</f>
        <v>586.80812</v>
      </c>
      <c r="DJ90" s="125">
        <f>DE90*(1+DJ223)</f>
        <v>159.6953</v>
      </c>
      <c r="DK90" s="125">
        <f>DF90*(1+DK223)</f>
        <v>167.95176</v>
      </c>
      <c r="DL90" s="125">
        <f>DG90*(1+DL223)</f>
        <v>177.4739116</v>
      </c>
      <c r="DM90" s="125">
        <f>DH90*(1+DM223)</f>
        <v>187.31261</v>
      </c>
      <c r="DN90" s="124">
        <f>SUM(DJ90:DM90)</f>
        <v>692.4335816</v>
      </c>
      <c r="DO90" s="125">
        <f>DJ90*(1+DO223)</f>
        <v>188.440454</v>
      </c>
      <c r="DP90" s="125">
        <f>DK90*(1+DP223)</f>
        <v>198.1830768</v>
      </c>
      <c r="DQ90" s="125">
        <f>DL90*(1+DQ223)</f>
        <v>209.419215688</v>
      </c>
      <c r="DR90" s="125">
        <f>DM90*(1+DR223)</f>
        <v>221.0288798</v>
      </c>
      <c r="DS90" s="124">
        <f>SUM(DO90:DR90)</f>
        <v>817.071626288</v>
      </c>
    </row>
    <row r="91" spans="1:123">
      <c r="B91" s="198" t="s">
        <v>102</v>
      </c>
      <c r="C91" s="124"/>
      <c r="H91" s="124"/>
      <c r="M91" s="124">
        <f>M134</f>
        <v>2.641564</v>
      </c>
      <c r="R91" s="124">
        <f>R134</f>
        <v>5.947097</v>
      </c>
      <c r="W91" s="124">
        <f>W134</f>
        <v>6.532308</v>
      </c>
      <c r="AB91" s="124">
        <f>AB134</f>
        <v>5.616</v>
      </c>
      <c r="AG91" s="124">
        <f t="shared" si="200"/>
        <v>7.273</v>
      </c>
      <c r="AH91" s="125">
        <f t="shared" si="200"/>
        <v>2.729</v>
      </c>
      <c r="AI91" s="125">
        <f t="shared" ref="AI91:AJ98" si="229">AI134-AH134</f>
        <v>2.337</v>
      </c>
      <c r="AJ91" s="125">
        <f t="shared" si="229"/>
        <v>2.679</v>
      </c>
      <c r="AK91" s="125">
        <f>AK134-AJ134</f>
        <v>2.595</v>
      </c>
      <c r="AL91" s="124">
        <f t="shared" si="201"/>
        <v>10.34</v>
      </c>
      <c r="AM91" s="125">
        <f t="shared" si="201"/>
        <v>3.891</v>
      </c>
      <c r="AN91" s="125">
        <f>AN134-AM134</f>
        <v>4.149</v>
      </c>
      <c r="AO91" s="125">
        <f>AO134-AN134</f>
        <v>3.788</v>
      </c>
      <c r="AP91" s="125">
        <f t="shared" si="213"/>
        <v>3.809</v>
      </c>
      <c r="AQ91" s="124">
        <f t="shared" si="202"/>
        <v>15.637</v>
      </c>
      <c r="AR91" s="125">
        <f t="shared" si="202"/>
        <v>0</v>
      </c>
      <c r="AS91" s="125">
        <f>AS134-AR134</f>
        <v>0</v>
      </c>
      <c r="AT91" s="125">
        <f>AT134-AS134</f>
        <v>12.453</v>
      </c>
      <c r="AU91" s="125">
        <f t="shared" si="214"/>
        <v>-2.366</v>
      </c>
      <c r="AV91" s="124">
        <f t="shared" si="203"/>
        <v>10.087</v>
      </c>
      <c r="AW91" s="125">
        <f t="shared" si="203"/>
        <v>1.977</v>
      </c>
      <c r="AX91" s="125">
        <f>AX134-AW134</f>
        <v>1.392</v>
      </c>
      <c r="AY91" s="125">
        <f>AY134-AX134</f>
        <v>2.013</v>
      </c>
      <c r="AZ91" s="125">
        <f t="shared" si="215"/>
        <v>2.887</v>
      </c>
      <c r="BA91" s="124">
        <f t="shared" si="204"/>
        <v>8.269</v>
      </c>
      <c r="BB91" s="125">
        <f t="shared" si="204"/>
        <v>2.068</v>
      </c>
      <c r="BC91" s="125">
        <f>BC134-BB134</f>
        <v>3.953</v>
      </c>
      <c r="BD91" s="125">
        <f>BD134-BC134</f>
        <v>0.618</v>
      </c>
      <c r="BE91" s="125">
        <f t="shared" si="216"/>
        <v>3.717</v>
      </c>
      <c r="BF91" s="124">
        <f t="shared" si="205"/>
        <v>10.356</v>
      </c>
      <c r="BG91" s="125">
        <f t="shared" si="205"/>
        <v>3.181</v>
      </c>
      <c r="BH91" s="125">
        <f>BH134-BG134</f>
        <v>4.945</v>
      </c>
      <c r="BI91" s="125">
        <f>BI134-BH134</f>
        <v>4.813</v>
      </c>
      <c r="BJ91" s="125">
        <f t="shared" si="217"/>
        <v>3.883</v>
      </c>
      <c r="BK91" s="124">
        <f t="shared" si="206"/>
        <v>16.822</v>
      </c>
      <c r="BL91" s="125">
        <f t="shared" si="206"/>
        <v>2.73</v>
      </c>
      <c r="BM91" s="125">
        <f t="shared" si="218"/>
        <v>5.98</v>
      </c>
      <c r="BN91" s="125">
        <f t="shared" si="218"/>
        <v>4.338</v>
      </c>
      <c r="BO91" s="125">
        <f t="shared" si="218"/>
        <v>4.562</v>
      </c>
      <c r="BP91" s="124">
        <f t="shared" si="219"/>
        <v>17.61</v>
      </c>
      <c r="BQ91" s="125">
        <f t="shared" si="219"/>
        <v>5.193</v>
      </c>
      <c r="BR91" s="125">
        <f t="shared" si="220"/>
        <v>7.855</v>
      </c>
      <c r="BS91" s="125">
        <f t="shared" si="220"/>
        <v>5.568</v>
      </c>
      <c r="BT91" s="125">
        <f>BT134-BS134</f>
        <v>9.952</v>
      </c>
      <c r="BU91" s="124">
        <f t="shared" si="221"/>
        <v>28.568</v>
      </c>
      <c r="BV91" s="125">
        <f t="shared" si="221"/>
        <v>10.157</v>
      </c>
      <c r="BW91" s="125">
        <f t="shared" si="222"/>
        <v>11.848</v>
      </c>
      <c r="BX91" s="125">
        <f t="shared" si="222"/>
        <v>14.065</v>
      </c>
      <c r="BY91" s="125">
        <f t="shared" si="222"/>
        <v>9.523</v>
      </c>
      <c r="BZ91" s="124">
        <f>SUM(BV91:BY91)</f>
        <v>45.593</v>
      </c>
      <c r="CA91" s="125">
        <f>CA134</f>
        <v>6.128</v>
      </c>
      <c r="CB91" s="125">
        <f t="shared" si="223"/>
        <v>15.784</v>
      </c>
      <c r="CC91" s="125">
        <f t="shared" si="223"/>
        <v>15.186</v>
      </c>
      <c r="CD91" s="125">
        <f>CD134-CC134</f>
        <v>13.699</v>
      </c>
      <c r="CE91" s="124">
        <f>SUM(CA91:CD91)</f>
        <v>50.797</v>
      </c>
      <c r="CF91" s="125">
        <f>CF134</f>
        <v>14.932</v>
      </c>
      <c r="CG91" s="125">
        <f t="shared" si="224"/>
        <v>15.289</v>
      </c>
      <c r="CH91" s="125">
        <f t="shared" si="224"/>
        <v>21.657</v>
      </c>
      <c r="CI91" s="125">
        <f t="shared" si="224"/>
        <v>17.259</v>
      </c>
      <c r="CJ91" s="124">
        <f>SUM(CF91:CI91)</f>
        <v>69.137</v>
      </c>
      <c r="CK91" s="172">
        <f>CK134</f>
        <v>18.358</v>
      </c>
      <c r="CL91" s="125">
        <f t="shared" si="225"/>
        <v>20.817</v>
      </c>
      <c r="CM91" s="125">
        <f t="shared" si="225"/>
        <v>20.312</v>
      </c>
      <c r="CN91" s="125">
        <f t="shared" si="225"/>
        <v>18.588</v>
      </c>
      <c r="CO91" s="124">
        <f>SUM(CK91:CN91)</f>
        <v>78.075</v>
      </c>
      <c r="CP91" s="172">
        <f>CP134</f>
        <v>21.301</v>
      </c>
      <c r="CQ91" s="125">
        <f t="shared" si="226"/>
        <v>24.283</v>
      </c>
      <c r="CR91" s="125">
        <f t="shared" si="226"/>
        <v>24.573</v>
      </c>
      <c r="CS91" s="125">
        <f t="shared" si="226"/>
        <v>23.403</v>
      </c>
      <c r="CT91" s="124">
        <f>SUM(CP91:CS91)</f>
        <v>93.56</v>
      </c>
      <c r="CU91" s="172">
        <f>CU134</f>
        <v>25.758</v>
      </c>
      <c r="CV91" s="125">
        <f>CV134-CU134</f>
        <v>21.567</v>
      </c>
      <c r="CW91" s="125">
        <f t="shared" si="227"/>
        <v>24.169</v>
      </c>
      <c r="CX91" s="125">
        <f t="shared" si="227"/>
        <v>18.517</v>
      </c>
      <c r="CY91" s="124">
        <f>SUM(CU91:CX91)</f>
        <v>90.011</v>
      </c>
      <c r="CZ91" s="172">
        <f>CZ134</f>
        <v>23.091</v>
      </c>
      <c r="DA91" s="125">
        <f>DA134-CZ134</f>
        <v>-1.844</v>
      </c>
      <c r="DB91" s="125">
        <f t="shared" si="228"/>
        <v>16.558</v>
      </c>
      <c r="DC91" s="125">
        <f t="shared" si="228"/>
        <v>24.398</v>
      </c>
      <c r="DD91" s="124">
        <f>SUM(CZ91:DC91)</f>
        <v>62.203</v>
      </c>
      <c r="DE91" s="172">
        <f>DE134</f>
        <v>29.186</v>
      </c>
      <c r="DF91" s="125">
        <f>DF134-DE134</f>
        <v>21.089</v>
      </c>
      <c r="DG91" s="596">
        <v>6</v>
      </c>
      <c r="DH91" s="596">
        <v>6</v>
      </c>
      <c r="DI91" s="124">
        <f>SUM(DE91:DH91)</f>
        <v>62.275</v>
      </c>
      <c r="DJ91" s="596">
        <v>6</v>
      </c>
      <c r="DK91" s="596">
        <v>6</v>
      </c>
      <c r="DL91" s="596">
        <v>6</v>
      </c>
      <c r="DM91" s="596">
        <v>6</v>
      </c>
      <c r="DN91" s="124">
        <f>SUM(DJ91:DM91)</f>
        <v>24</v>
      </c>
      <c r="DO91" s="596">
        <v>6</v>
      </c>
      <c r="DP91" s="596">
        <v>6</v>
      </c>
      <c r="DQ91" s="596">
        <v>6</v>
      </c>
      <c r="DR91" s="596">
        <v>6</v>
      </c>
      <c r="DS91" s="124">
        <f>SUM(DO91:DR91)</f>
        <v>24</v>
      </c>
    </row>
    <row r="92" spans="1:123">
      <c r="B92" s="198" t="s">
        <v>103</v>
      </c>
      <c r="C92" s="124"/>
      <c r="H92" s="124"/>
      <c r="M92" s="124">
        <f>M135</f>
        <v>0</v>
      </c>
      <c r="R92" s="124">
        <f>R135</f>
        <v>0</v>
      </c>
      <c r="W92" s="124">
        <f>W135</f>
        <v>0</v>
      </c>
      <c r="AB92" s="124">
        <f>AB135</f>
        <v>0</v>
      </c>
      <c r="AG92" s="124">
        <f t="shared" si="200"/>
        <v>0</v>
      </c>
      <c r="AH92" s="125">
        <f t="shared" si="200"/>
        <v>0</v>
      </c>
      <c r="AI92" s="125">
        <f t="shared" si="229"/>
        <v>0</v>
      </c>
      <c r="AJ92" s="125">
        <f t="shared" si="229"/>
        <v>0</v>
      </c>
      <c r="AK92" s="125">
        <f>AK135-AJ135</f>
        <v>0</v>
      </c>
      <c r="AL92" s="124">
        <f t="shared" si="201"/>
        <v>0</v>
      </c>
      <c r="AM92" s="125">
        <f t="shared" si="201"/>
        <v>0</v>
      </c>
      <c r="AN92" s="125">
        <f>AN135-AM135</f>
        <v>0</v>
      </c>
      <c r="AO92" s="125">
        <f>AO135-AN135</f>
        <v>0</v>
      </c>
      <c r="AP92" s="125">
        <f t="shared" si="213"/>
        <v>-6.445</v>
      </c>
      <c r="AQ92" s="124">
        <f t="shared" si="202"/>
        <v>-6.445</v>
      </c>
      <c r="AR92" s="125">
        <f t="shared" si="202"/>
        <v>0</v>
      </c>
      <c r="AS92" s="125">
        <f>AS135-AR135</f>
        <v>0</v>
      </c>
      <c r="AT92" s="125">
        <f>AT135-AS135</f>
        <v>0</v>
      </c>
      <c r="AU92" s="125">
        <f t="shared" si="214"/>
        <v>0.82</v>
      </c>
      <c r="AV92" s="124">
        <f t="shared" si="203"/>
        <v>0.82</v>
      </c>
      <c r="AW92" s="125">
        <f t="shared" si="203"/>
        <v>30.946</v>
      </c>
      <c r="AX92" s="125">
        <f>AX135-AW135</f>
        <v>-3.096</v>
      </c>
      <c r="AY92" s="125">
        <f>AY135-AX135</f>
        <v>-6.9</v>
      </c>
      <c r="AZ92" s="125">
        <f t="shared" si="215"/>
        <v>-18.863</v>
      </c>
      <c r="BA92" s="124">
        <f t="shared" si="204"/>
        <v>2.087</v>
      </c>
      <c r="BB92" s="125">
        <f t="shared" si="204"/>
        <v>0</v>
      </c>
      <c r="BC92" s="125">
        <f>BC135-BB135</f>
        <v>-0.011</v>
      </c>
      <c r="BD92" s="125">
        <f>BD135-BC135</f>
        <v>5.116</v>
      </c>
      <c r="BE92" s="125">
        <f t="shared" si="216"/>
        <v>6.037</v>
      </c>
      <c r="BF92" s="124">
        <f t="shared" si="205"/>
        <v>11.142</v>
      </c>
      <c r="BG92" s="125">
        <f t="shared" si="205"/>
        <v>-0.3</v>
      </c>
      <c r="BH92" s="125">
        <f>BH135-BG135</f>
        <v>0.3</v>
      </c>
      <c r="BI92" s="125">
        <f>BI135-BH135</f>
        <v>0</v>
      </c>
      <c r="BJ92" s="125">
        <f t="shared" si="217"/>
        <v>-17.563</v>
      </c>
      <c r="BK92" s="124">
        <f t="shared" si="206"/>
        <v>-17.563</v>
      </c>
      <c r="BL92" s="125">
        <f t="shared" si="206"/>
        <v>0</v>
      </c>
      <c r="BM92" s="125">
        <f t="shared" si="218"/>
        <v>0</v>
      </c>
      <c r="BN92" s="125">
        <f t="shared" si="218"/>
        <v>-18.385</v>
      </c>
      <c r="BO92" s="125">
        <f t="shared" si="218"/>
        <v>6.969</v>
      </c>
      <c r="BP92" s="124">
        <f t="shared" si="219"/>
        <v>-11.416</v>
      </c>
      <c r="BQ92" s="125">
        <f t="shared" si="219"/>
        <v>0.4</v>
      </c>
      <c r="BR92" s="125">
        <f t="shared" si="220"/>
        <v>2.064</v>
      </c>
      <c r="BS92" s="125">
        <f t="shared" si="220"/>
        <v>-0.0819999999999999</v>
      </c>
      <c r="BT92" s="125">
        <f>BT135-BS135</f>
        <v>14.404</v>
      </c>
      <c r="BU92" s="124">
        <f t="shared" si="221"/>
        <v>16.786</v>
      </c>
      <c r="BV92" s="125">
        <f t="shared" si="221"/>
        <v>0</v>
      </c>
      <c r="BW92" s="125">
        <f t="shared" si="222"/>
        <v>0</v>
      </c>
      <c r="BX92" s="125">
        <f t="shared" si="222"/>
        <v>0</v>
      </c>
      <c r="BY92" s="125">
        <f t="shared" si="222"/>
        <v>24.129</v>
      </c>
      <c r="BZ92" s="124">
        <f>SUM(BV92:BY92)</f>
        <v>24.129</v>
      </c>
      <c r="CA92" s="125">
        <f>CA135</f>
        <v>0</v>
      </c>
      <c r="CB92" s="125">
        <f t="shared" si="223"/>
        <v>0</v>
      </c>
      <c r="CC92" s="125">
        <f t="shared" si="223"/>
        <v>0</v>
      </c>
      <c r="CD92" s="125">
        <f>CD135-CC135</f>
        <v>34.908</v>
      </c>
      <c r="CE92" s="124">
        <f>SUM(CA92:CD92)</f>
        <v>34.908</v>
      </c>
      <c r="CF92" s="125">
        <f>CF135</f>
        <v>0</v>
      </c>
      <c r="CG92" s="125">
        <f t="shared" si="224"/>
        <v>0</v>
      </c>
      <c r="CH92" s="125">
        <f t="shared" si="224"/>
        <v>0</v>
      </c>
      <c r="CI92" s="125">
        <f t="shared" si="224"/>
        <v>-5.18</v>
      </c>
      <c r="CJ92" s="124">
        <f>SUM(CF92:CI92)</f>
        <v>-5.18</v>
      </c>
      <c r="CK92" s="172">
        <f>CK135</f>
        <v>0</v>
      </c>
      <c r="CL92" s="125">
        <f t="shared" si="225"/>
        <v>0</v>
      </c>
      <c r="CM92" s="125">
        <f t="shared" si="225"/>
        <v>0</v>
      </c>
      <c r="CN92" s="125">
        <f t="shared" si="225"/>
        <v>3.042</v>
      </c>
      <c r="CO92" s="124">
        <f>SUM(CK92:CN92)</f>
        <v>3.042</v>
      </c>
      <c r="CP92" s="172">
        <f>CP135</f>
        <v>-0.721</v>
      </c>
      <c r="CQ92" s="125">
        <f t="shared" si="226"/>
        <v>0.721</v>
      </c>
      <c r="CR92" s="125">
        <f t="shared" si="226"/>
        <v>0</v>
      </c>
      <c r="CS92" s="125">
        <f t="shared" si="226"/>
        <v>-28.383</v>
      </c>
      <c r="CT92" s="124">
        <f>SUM(CP92:CS92)</f>
        <v>-28.383</v>
      </c>
      <c r="CU92" s="172">
        <f>CU135</f>
        <v>0</v>
      </c>
      <c r="CV92" s="125">
        <f>CV135-CU135</f>
        <v>0</v>
      </c>
      <c r="CW92" s="125">
        <f t="shared" si="227"/>
        <v>0</v>
      </c>
      <c r="CX92" s="125">
        <f t="shared" si="227"/>
        <v>57.451</v>
      </c>
      <c r="CY92" s="124">
        <f>SUM(CU92:CX92)</f>
        <v>57.451</v>
      </c>
      <c r="CZ92" s="172">
        <f>CZ135</f>
        <v>0</v>
      </c>
      <c r="DA92" s="125">
        <f>DA135-CZ135</f>
        <v>0</v>
      </c>
      <c r="DB92" s="125">
        <f t="shared" si="228"/>
        <v>0</v>
      </c>
      <c r="DC92" s="125">
        <f t="shared" si="228"/>
        <v>-53.379</v>
      </c>
      <c r="DD92" s="124">
        <f>SUM(CZ92:DC92)</f>
        <v>-53.379</v>
      </c>
      <c r="DE92" s="172">
        <f>DE135</f>
        <v>0</v>
      </c>
      <c r="DF92" s="125">
        <f>DF135-DE135</f>
        <v>0</v>
      </c>
      <c r="DG92" s="596">
        <v>0</v>
      </c>
      <c r="DH92" s="596">
        <v>0</v>
      </c>
      <c r="DI92" s="124">
        <f>SUM(DE92:DH92)</f>
        <v>0</v>
      </c>
      <c r="DJ92" s="596">
        <v>0</v>
      </c>
      <c r="DK92" s="596">
        <v>0</v>
      </c>
      <c r="DL92" s="596">
        <v>0</v>
      </c>
      <c r="DM92" s="596">
        <v>0</v>
      </c>
      <c r="DN92" s="124">
        <f>SUM(DJ92:DM92)</f>
        <v>0</v>
      </c>
      <c r="DO92" s="596">
        <v>0</v>
      </c>
      <c r="DP92" s="596">
        <v>0</v>
      </c>
      <c r="DQ92" s="596">
        <v>0</v>
      </c>
      <c r="DR92" s="596">
        <v>0</v>
      </c>
      <c r="DS92" s="124">
        <f>SUM(DO92:DR92)</f>
        <v>0</v>
      </c>
    </row>
    <row r="93" spans="1:123">
      <c r="B93" s="198"/>
      <c r="C93" s="124"/>
      <c r="H93" s="124"/>
      <c r="M93" s="124"/>
      <c r="R93" s="124"/>
      <c r="W93" s="124"/>
      <c r="AB93" s="124"/>
      <c r="AG93" s="124"/>
      <c r="AL93" s="124"/>
      <c r="AQ93" s="124"/>
      <c r="AV93" s="124"/>
      <c r="BA93" s="124"/>
      <c r="BF93" s="124"/>
      <c r="BK93" s="124"/>
      <c r="BP93" s="124"/>
      <c r="BU93" s="124"/>
      <c r="BZ93" s="124"/>
      <c r="CE93" s="124"/>
      <c r="CJ93" s="124"/>
      <c r="CK93" s="172"/>
      <c r="CO93" s="124"/>
      <c r="CP93" s="172"/>
      <c r="CT93" s="124"/>
      <c r="CU93" s="172"/>
      <c r="CY93" s="124"/>
      <c r="CZ93" s="172"/>
      <c r="DD93" s="124"/>
      <c r="DE93" s="172"/>
      <c r="DI93" s="124"/>
      <c r="DN93" s="124"/>
      <c r="DS93" s="124"/>
    </row>
    <row r="94" spans="1:123">
      <c r="B94" s="198" t="s">
        <v>104</v>
      </c>
      <c r="C94" s="124"/>
      <c r="H94" s="124"/>
      <c r="M94" s="124">
        <f>M137</f>
        <v>-1.196101</v>
      </c>
      <c r="R94" s="124">
        <f>R137</f>
        <v>0.412848</v>
      </c>
      <c r="W94" s="124">
        <f>W137</f>
        <v>-1.038881</v>
      </c>
      <c r="AB94" s="124">
        <f>AB137</f>
        <v>-3.796</v>
      </c>
      <c r="AG94" s="124">
        <f t="shared" ref="AG94:AH98" si="230">AG137</f>
        <v>-0.541</v>
      </c>
      <c r="AH94" s="125">
        <f t="shared" si="230"/>
        <v>-2.557</v>
      </c>
      <c r="AI94" s="125">
        <f t="shared" si="229"/>
        <v>2.557</v>
      </c>
      <c r="AJ94" s="125">
        <f t="shared" si="229"/>
        <v>0</v>
      </c>
      <c r="AK94" s="125">
        <f>AK137-AJ137</f>
        <v>3.743</v>
      </c>
      <c r="AL94" s="124">
        <f t="shared" ref="AL94:AM98" si="231">AL137</f>
        <v>3.743</v>
      </c>
      <c r="AM94" s="125">
        <f t="shared" si="231"/>
        <v>0</v>
      </c>
      <c r="AN94" s="125">
        <f t="shared" ref="AN94:AP98" si="232">AN137-AM137</f>
        <v>0</v>
      </c>
      <c r="AO94" s="125">
        <f t="shared" si="232"/>
        <v>0</v>
      </c>
      <c r="AP94" s="125">
        <f t="shared" si="232"/>
        <v>0</v>
      </c>
      <c r="AQ94" s="124">
        <f t="shared" ref="AQ94:AR98" si="233">AQ137</f>
        <v>0</v>
      </c>
      <c r="AR94" s="125">
        <f t="shared" si="233"/>
        <v>0</v>
      </c>
      <c r="AS94" s="125">
        <f t="shared" ref="AS94:AU98" si="234">AS137-AR137</f>
        <v>0</v>
      </c>
      <c r="AT94" s="125">
        <f t="shared" si="234"/>
        <v>0</v>
      </c>
      <c r="AU94" s="125">
        <f t="shared" si="234"/>
        <v>0</v>
      </c>
      <c r="AV94" s="124">
        <f t="shared" ref="AV94:AW98" si="235">AV137</f>
        <v>0</v>
      </c>
      <c r="AW94" s="125">
        <f t="shared" si="235"/>
        <v>0</v>
      </c>
      <c r="AX94" s="125">
        <f t="shared" ref="AX94:AZ98" si="236">AX137-AW137</f>
        <v>0</v>
      </c>
      <c r="AY94" s="125">
        <f t="shared" si="236"/>
        <v>0</v>
      </c>
      <c r="AZ94" s="125">
        <f t="shared" si="236"/>
        <v>0</v>
      </c>
      <c r="BA94" s="124">
        <f t="shared" ref="BA94:BB98" si="237">BA137</f>
        <v>0</v>
      </c>
      <c r="BB94" s="125">
        <f t="shared" si="237"/>
        <v>0</v>
      </c>
      <c r="BC94" s="125">
        <f t="shared" ref="BC94:BE98" si="238">BC137-BB137</f>
        <v>0</v>
      </c>
      <c r="BD94" s="125">
        <f t="shared" si="238"/>
        <v>0</v>
      </c>
      <c r="BE94" s="125">
        <f t="shared" si="238"/>
        <v>0</v>
      </c>
      <c r="BF94" s="124">
        <f t="shared" ref="BF94:BG98" si="239">BF137</f>
        <v>0</v>
      </c>
      <c r="BG94" s="125">
        <f t="shared" si="239"/>
        <v>0</v>
      </c>
      <c r="BH94" s="125">
        <f t="shared" ref="BH94:BJ98" si="240">BH137-BG137</f>
        <v>0</v>
      </c>
      <c r="BI94" s="125">
        <f t="shared" si="240"/>
        <v>0</v>
      </c>
      <c r="BJ94" s="125">
        <f t="shared" si="240"/>
        <v>0</v>
      </c>
      <c r="BK94" s="124">
        <f t="shared" ref="BK94:BL98" si="241">BK137</f>
        <v>0</v>
      </c>
      <c r="BL94" s="125">
        <f t="shared" si="241"/>
        <v>0</v>
      </c>
      <c r="BM94" s="125">
        <f t="shared" ref="BM94:BO98" si="242">BM137-BL137</f>
        <v>0</v>
      </c>
      <c r="BN94" s="125">
        <f t="shared" si="242"/>
        <v>0</v>
      </c>
      <c r="BO94" s="125">
        <f t="shared" si="242"/>
        <v>0</v>
      </c>
      <c r="BP94" s="124">
        <f t="shared" ref="BP94:BQ98" si="243">BP137</f>
        <v>0</v>
      </c>
      <c r="BQ94" s="125">
        <f t="shared" si="243"/>
        <v>0</v>
      </c>
      <c r="BR94" s="125">
        <f t="shared" ref="BR94:BS98" si="244">BR137-BQ137</f>
        <v>0</v>
      </c>
      <c r="BS94" s="125">
        <f t="shared" si="244"/>
        <v>0</v>
      </c>
      <c r="BT94" s="125">
        <f>BT137-BS137</f>
        <v>0</v>
      </c>
      <c r="BU94" s="124">
        <f t="shared" ref="BU94:BV98" si="245">BU137</f>
        <v>0</v>
      </c>
      <c r="BV94" s="125">
        <f t="shared" si="245"/>
        <v>0</v>
      </c>
      <c r="BW94" s="125">
        <f t="shared" ref="BW94:BY98" si="246">BW137-BV137</f>
        <v>0</v>
      </c>
      <c r="BX94" s="125">
        <f t="shared" si="246"/>
        <v>0</v>
      </c>
      <c r="BY94" s="125">
        <f t="shared" si="246"/>
        <v>0</v>
      </c>
      <c r="BZ94" s="124">
        <f>SUM(BV94:BY94)</f>
        <v>0</v>
      </c>
      <c r="CA94" s="125">
        <f>CA137</f>
        <v>0</v>
      </c>
      <c r="CB94" s="125">
        <f t="shared" ref="CB94:CC98" si="247">CB137-CA137</f>
        <v>0</v>
      </c>
      <c r="CC94" s="125">
        <f t="shared" si="247"/>
        <v>0</v>
      </c>
      <c r="CD94" s="125">
        <f>CD137-CC137</f>
        <v>0</v>
      </c>
      <c r="CE94" s="124">
        <f>SUM(CA94:CD94)</f>
        <v>0</v>
      </c>
      <c r="CF94" s="125">
        <f>CF137</f>
        <v>0</v>
      </c>
      <c r="CG94" s="125">
        <f t="shared" ref="CG94:CI98" si="248">CG137-CF137</f>
        <v>0</v>
      </c>
      <c r="CH94" s="125">
        <f t="shared" si="248"/>
        <v>0</v>
      </c>
      <c r="CI94" s="125">
        <f t="shared" si="248"/>
        <v>0</v>
      </c>
      <c r="CJ94" s="124">
        <f>SUM(CF94:CI94)</f>
        <v>0</v>
      </c>
      <c r="CK94" s="172">
        <f>CK137</f>
        <v>0</v>
      </c>
      <c r="CL94" s="125">
        <f t="shared" ref="CL94:CN98" si="249">CL137-CK137</f>
        <v>0</v>
      </c>
      <c r="CM94" s="125">
        <f t="shared" si="249"/>
        <v>0</v>
      </c>
      <c r="CN94" s="125">
        <f t="shared" si="249"/>
        <v>0</v>
      </c>
      <c r="CO94" s="124">
        <f>SUM(CK94:CN94)</f>
        <v>0</v>
      </c>
      <c r="CP94" s="172">
        <f>CP137</f>
        <v>0</v>
      </c>
      <c r="CQ94" s="125">
        <f t="shared" ref="CQ94:CS98" si="250">CQ137-CP137</f>
        <v>0</v>
      </c>
      <c r="CR94" s="125">
        <f t="shared" si="250"/>
        <v>0</v>
      </c>
      <c r="CS94" s="125">
        <f t="shared" si="250"/>
        <v>0</v>
      </c>
      <c r="CT94" s="124">
        <f>SUM(CP94:CS94)</f>
        <v>0</v>
      </c>
      <c r="CU94" s="172">
        <f>CU137</f>
        <v>0</v>
      </c>
      <c r="CV94" s="125">
        <f>CV137-CU137</f>
        <v>0</v>
      </c>
      <c r="CW94" s="125">
        <f t="shared" ref="CW94:CX98" si="251">CW137-CV137</f>
        <v>0</v>
      </c>
      <c r="CX94" s="125">
        <f t="shared" si="251"/>
        <v>1.626</v>
      </c>
      <c r="CY94" s="124">
        <f>SUM(CU94:CX94)</f>
        <v>1.626</v>
      </c>
      <c r="CZ94" s="172">
        <f>CZ137</f>
        <v>-18.504</v>
      </c>
      <c r="DA94" s="125">
        <f>DA137-CZ137</f>
        <v>2.575</v>
      </c>
      <c r="DB94" s="125">
        <f t="shared" ref="DB94:DC98" si="252">DB137-DA137</f>
        <v>-111.49</v>
      </c>
      <c r="DC94" s="125">
        <f t="shared" si="252"/>
        <v>61.664</v>
      </c>
      <c r="DD94" s="124">
        <f>SUM(CZ94:DC94)</f>
        <v>-65.755</v>
      </c>
      <c r="DE94" s="172">
        <f>DE137</f>
        <v>26.667</v>
      </c>
      <c r="DF94" s="125">
        <f>DF137-DE137</f>
        <v>-6.297</v>
      </c>
      <c r="DG94" s="125">
        <f t="shared" ref="DG94:DH95" si="253">DF174-DG174</f>
        <v>-73.9484803630486</v>
      </c>
      <c r="DH94" s="125">
        <f t="shared" si="253"/>
        <v>65.3770074177318</v>
      </c>
      <c r="DI94" s="124">
        <f>SUM(DE94:DH94)</f>
        <v>11.7985270546831</v>
      </c>
      <c r="DJ94" s="125">
        <f t="shared" ref="DJ94:DJ95" si="254">DI174-DJ174</f>
        <v>27.241784358763</v>
      </c>
      <c r="DK94" s="125">
        <f t="shared" ref="DK94:DK95" si="255">DJ174-DK174</f>
        <v>-5.95974889357913</v>
      </c>
      <c r="DL94" s="125">
        <f t="shared" ref="DL94:DL95" si="256">DK174-DL174</f>
        <v>-73.4593530321986</v>
      </c>
      <c r="DM94" s="125">
        <f t="shared" ref="DM94:DM95" si="257">DL174-DM174</f>
        <v>56.4648719370996</v>
      </c>
      <c r="DN94" s="124">
        <f>SUM(DJ94:DM94)</f>
        <v>4.28755437008491</v>
      </c>
      <c r="DO94" s="125">
        <f t="shared" ref="DO94:DO95" si="258">DN174-DO174</f>
        <v>24.5473348991964</v>
      </c>
      <c r="DP94" s="125">
        <f t="shared" ref="DP94:DP95" si="259">DO174-DP174</f>
        <v>-7.61892569755895</v>
      </c>
      <c r="DQ94" s="125">
        <f t="shared" ref="DQ94:DQ95" si="260">DP174-DQ174</f>
        <v>-74.5497493875126</v>
      </c>
      <c r="DR94" s="125">
        <f t="shared" ref="DR94:DR95" si="261">DQ174-DR174</f>
        <v>55.6626182335236</v>
      </c>
      <c r="DS94" s="124">
        <f>SUM(DO94:DR94)</f>
        <v>-1.9587219523516</v>
      </c>
    </row>
    <row r="95" spans="1:123">
      <c r="B95" s="198" t="s">
        <v>105</v>
      </c>
      <c r="C95" s="124"/>
      <c r="H95" s="124"/>
      <c r="M95" s="124">
        <f>M138</f>
        <v>-5.751628</v>
      </c>
      <c r="R95" s="124">
        <f>R138</f>
        <v>-11.217151</v>
      </c>
      <c r="W95" s="124">
        <f>W138</f>
        <v>-19.782088</v>
      </c>
      <c r="AB95" s="124">
        <f>AB138</f>
        <v>11.296</v>
      </c>
      <c r="AG95" s="124">
        <f t="shared" si="230"/>
        <v>-7.954</v>
      </c>
      <c r="AH95" s="125">
        <f t="shared" si="230"/>
        <v>-5.552</v>
      </c>
      <c r="AI95" s="125">
        <f t="shared" si="229"/>
        <v>-24.612</v>
      </c>
      <c r="AJ95" s="125">
        <f t="shared" si="229"/>
        <v>-40.831</v>
      </c>
      <c r="AK95" s="125">
        <f>AK138-AJ138</f>
        <v>24.923</v>
      </c>
      <c r="AL95" s="124">
        <f t="shared" si="231"/>
        <v>-46.072</v>
      </c>
      <c r="AM95" s="125">
        <f t="shared" si="231"/>
        <v>-2.749</v>
      </c>
      <c r="AN95" s="125">
        <f t="shared" ref="AN95:AO98" si="262">AN138-AM138</f>
        <v>-18.719</v>
      </c>
      <c r="AO95" s="125">
        <f t="shared" si="262"/>
        <v>-39.07</v>
      </c>
      <c r="AP95" s="125">
        <f t="shared" si="232"/>
        <v>9.516</v>
      </c>
      <c r="AQ95" s="124">
        <f t="shared" si="233"/>
        <v>-51.022</v>
      </c>
      <c r="AR95" s="125">
        <f t="shared" si="233"/>
        <v>-6.229</v>
      </c>
      <c r="AS95" s="125">
        <f t="shared" ref="AS95:AT98" si="263">AS138-AR138</f>
        <v>-19.912</v>
      </c>
      <c r="AT95" s="125">
        <f t="shared" si="263"/>
        <v>11.496</v>
      </c>
      <c r="AU95" s="125">
        <f t="shared" si="234"/>
        <v>-22.762</v>
      </c>
      <c r="AV95" s="124">
        <f t="shared" si="235"/>
        <v>-37.407</v>
      </c>
      <c r="AW95" s="125">
        <f t="shared" si="235"/>
        <v>11.241</v>
      </c>
      <c r="AX95" s="125">
        <f t="shared" ref="AX95:AY98" si="264">AX138-AW138</f>
        <v>-1.261</v>
      </c>
      <c r="AY95" s="125">
        <f t="shared" si="264"/>
        <v>-54.132</v>
      </c>
      <c r="AZ95" s="125">
        <f t="shared" si="236"/>
        <v>17.346</v>
      </c>
      <c r="BA95" s="124">
        <f t="shared" si="237"/>
        <v>-26.806</v>
      </c>
      <c r="BB95" s="125">
        <f t="shared" si="237"/>
        <v>-25.797</v>
      </c>
      <c r="BC95" s="125">
        <f t="shared" ref="BC95:BD98" si="265">BC138-BB138</f>
        <v>-48.213</v>
      </c>
      <c r="BD95" s="125">
        <f t="shared" si="265"/>
        <v>-77.307</v>
      </c>
      <c r="BE95" s="125">
        <f t="shared" si="238"/>
        <v>68.031</v>
      </c>
      <c r="BF95" s="124">
        <f t="shared" si="239"/>
        <v>-83.286</v>
      </c>
      <c r="BG95" s="125">
        <f t="shared" si="239"/>
        <v>12.912</v>
      </c>
      <c r="BH95" s="125">
        <f t="shared" ref="BH95:BI98" si="266">BH138-BG138</f>
        <v>4.035</v>
      </c>
      <c r="BI95" s="125">
        <f t="shared" si="266"/>
        <v>-90.607</v>
      </c>
      <c r="BJ95" s="125">
        <f t="shared" si="240"/>
        <v>68.257</v>
      </c>
      <c r="BK95" s="124">
        <f t="shared" si="241"/>
        <v>-5.403</v>
      </c>
      <c r="BL95" s="125">
        <f t="shared" si="241"/>
        <v>-13.445</v>
      </c>
      <c r="BM95" s="125">
        <f t="shared" si="242"/>
        <v>3.404</v>
      </c>
      <c r="BN95" s="125">
        <f t="shared" si="242"/>
        <v>-85.434</v>
      </c>
      <c r="BO95" s="125">
        <f t="shared" si="242"/>
        <v>74.297</v>
      </c>
      <c r="BP95" s="124">
        <f t="shared" si="243"/>
        <v>-21.178</v>
      </c>
      <c r="BQ95" s="125">
        <f t="shared" si="243"/>
        <v>-50.77</v>
      </c>
      <c r="BR95" s="125">
        <f t="shared" si="244"/>
        <v>-22.295</v>
      </c>
      <c r="BS95" s="125">
        <f t="shared" si="244"/>
        <v>-104.825</v>
      </c>
      <c r="BT95" s="125">
        <f>BT138-BS138</f>
        <v>91.948</v>
      </c>
      <c r="BU95" s="124">
        <f t="shared" si="245"/>
        <v>-85.942</v>
      </c>
      <c r="BV95" s="125">
        <f t="shared" si="245"/>
        <v>-42.856</v>
      </c>
      <c r="BW95" s="125">
        <f t="shared" si="246"/>
        <v>-50.502</v>
      </c>
      <c r="BX95" s="125">
        <f t="shared" si="246"/>
        <v>-131.766</v>
      </c>
      <c r="BY95" s="125">
        <f t="shared" si="246"/>
        <v>107.533</v>
      </c>
      <c r="BZ95" s="124">
        <f>SUM(BV95:BY95)</f>
        <v>-117.591</v>
      </c>
      <c r="CA95" s="125">
        <f>CA138</f>
        <v>-122.81</v>
      </c>
      <c r="CB95" s="125">
        <f t="shared" si="247"/>
        <v>-15.384</v>
      </c>
      <c r="CC95" s="125">
        <f t="shared" si="247"/>
        <v>-95.96</v>
      </c>
      <c r="CD95" s="125">
        <f>CD138-CC138</f>
        <v>137.606</v>
      </c>
      <c r="CE95" s="124">
        <f>SUM(CA95:CD95)</f>
        <v>-96.548</v>
      </c>
      <c r="CF95" s="125">
        <f>CF138</f>
        <v>-74.218</v>
      </c>
      <c r="CG95" s="125">
        <f t="shared" si="248"/>
        <v>-63.146</v>
      </c>
      <c r="CH95" s="125">
        <f t="shared" si="248"/>
        <v>-151.457</v>
      </c>
      <c r="CI95" s="125">
        <f t="shared" si="248"/>
        <v>-34.788</v>
      </c>
      <c r="CJ95" s="124">
        <f>SUM(CF95:CI95)</f>
        <v>-323.609</v>
      </c>
      <c r="CK95" s="172">
        <f>CK138</f>
        <v>-320.607</v>
      </c>
      <c r="CL95" s="125">
        <f t="shared" si="249"/>
        <v>-189.96</v>
      </c>
      <c r="CM95" s="125">
        <f t="shared" si="249"/>
        <v>-321.457</v>
      </c>
      <c r="CN95" s="125">
        <f>CN138-CM138</f>
        <v>321.514</v>
      </c>
      <c r="CO95" s="124">
        <f>SUM(CK95:CN95)</f>
        <v>-510.51</v>
      </c>
      <c r="CP95" s="172">
        <f>CP138</f>
        <v>-155.174</v>
      </c>
      <c r="CQ95" s="125">
        <f t="shared" si="250"/>
        <v>-78.876</v>
      </c>
      <c r="CR95" s="125">
        <f t="shared" si="250"/>
        <v>-67.751</v>
      </c>
      <c r="CS95" s="125">
        <f>CS138-CR138</f>
        <v>368.385</v>
      </c>
      <c r="CT95" s="124">
        <f>SUM(CP95:CS95)</f>
        <v>66.584</v>
      </c>
      <c r="CU95" s="172">
        <f>CU138</f>
        <v>-36.425</v>
      </c>
      <c r="CV95" s="125">
        <f>CV138-CU138</f>
        <v>-89.651</v>
      </c>
      <c r="CW95" s="125">
        <f t="shared" si="251"/>
        <v>-351.606</v>
      </c>
      <c r="CX95" s="125">
        <f>CX138-CW138</f>
        <v>321.597</v>
      </c>
      <c r="CY95" s="124">
        <f>SUM(CU95:CX95)</f>
        <v>-156.085</v>
      </c>
      <c r="CZ95" s="172">
        <f>CZ138</f>
        <v>-174.319</v>
      </c>
      <c r="DA95" s="125">
        <f>DA138-CZ138</f>
        <v>-63.584</v>
      </c>
      <c r="DB95" s="125">
        <f t="shared" si="252"/>
        <v>-279.581</v>
      </c>
      <c r="DC95" s="125">
        <f>DC138-DB138</f>
        <v>328.774</v>
      </c>
      <c r="DD95" s="124">
        <f>SUM(CZ95:DC95)</f>
        <v>-188.71</v>
      </c>
      <c r="DE95" s="172">
        <f>DE138</f>
        <v>23.642</v>
      </c>
      <c r="DF95" s="125">
        <f>DF138-DE138</f>
        <v>-37.992</v>
      </c>
      <c r="DG95" s="125">
        <f t="shared" si="253"/>
        <v>-329.783234447549</v>
      </c>
      <c r="DH95" s="125">
        <f t="shared" si="253"/>
        <v>261.977403335605</v>
      </c>
      <c r="DI95" s="124">
        <f>SUM(DE95:DH95)</f>
        <v>-82.1558311119448</v>
      </c>
      <c r="DJ95" s="125">
        <f t="shared" si="254"/>
        <v>128.020120240435</v>
      </c>
      <c r="DK95" s="125">
        <f t="shared" si="255"/>
        <v>-85.5414139597467</v>
      </c>
      <c r="DL95" s="125">
        <f t="shared" si="256"/>
        <v>-337.706337923439</v>
      </c>
      <c r="DM95" s="125">
        <f t="shared" si="257"/>
        <v>290.033994566362</v>
      </c>
      <c r="DN95" s="124">
        <f>SUM(DJ95:DM95)</f>
        <v>-5.19363707638809</v>
      </c>
      <c r="DO95" s="125">
        <f t="shared" si="258"/>
        <v>101.619150849718</v>
      </c>
      <c r="DP95" s="125">
        <f t="shared" si="259"/>
        <v>-59.4408263474097</v>
      </c>
      <c r="DQ95" s="125">
        <f t="shared" si="260"/>
        <v>-348.069711998133</v>
      </c>
      <c r="DR95" s="125">
        <f t="shared" si="261"/>
        <v>281.935941180391</v>
      </c>
      <c r="DS95" s="124">
        <f>SUM(DO95:DR95)</f>
        <v>-23.9554463154334</v>
      </c>
    </row>
    <row r="96" spans="1:123">
      <c r="B96" s="198" t="s">
        <v>106</v>
      </c>
      <c r="C96" s="124"/>
      <c r="H96" s="124"/>
      <c r="M96" s="124">
        <f>M139</f>
        <v>-0.733573</v>
      </c>
      <c r="R96" s="124">
        <f>R139</f>
        <v>-2.329807</v>
      </c>
      <c r="W96" s="124">
        <f>W139</f>
        <v>-0.901805</v>
      </c>
      <c r="AB96" s="124">
        <f>AB139</f>
        <v>0.272</v>
      </c>
      <c r="AG96" s="124">
        <f t="shared" si="230"/>
        <v>-0.968</v>
      </c>
      <c r="AH96" s="125">
        <f t="shared" si="230"/>
        <v>-4.286</v>
      </c>
      <c r="AI96" s="125">
        <f t="shared" si="229"/>
        <v>-5.96</v>
      </c>
      <c r="AJ96" s="125">
        <f t="shared" si="229"/>
        <v>10.957</v>
      </c>
      <c r="AK96" s="125">
        <f>AK139-AJ139</f>
        <v>-0.206</v>
      </c>
      <c r="AL96" s="124">
        <f t="shared" si="231"/>
        <v>0.505</v>
      </c>
      <c r="AM96" s="125">
        <f t="shared" si="231"/>
        <v>-8.011</v>
      </c>
      <c r="AN96" s="125">
        <f t="shared" si="262"/>
        <v>-8.199</v>
      </c>
      <c r="AO96" s="125">
        <f t="shared" si="262"/>
        <v>-0.0700000000000003</v>
      </c>
      <c r="AP96" s="125">
        <f t="shared" si="232"/>
        <v>-2.024</v>
      </c>
      <c r="AQ96" s="124">
        <f t="shared" si="233"/>
        <v>-18.304</v>
      </c>
      <c r="AR96" s="125">
        <f t="shared" si="233"/>
        <v>-7.706</v>
      </c>
      <c r="AS96" s="125">
        <f t="shared" si="263"/>
        <v>-9.992</v>
      </c>
      <c r="AT96" s="125">
        <f t="shared" si="263"/>
        <v>5.574</v>
      </c>
      <c r="AU96" s="125">
        <f t="shared" si="234"/>
        <v>0.783000000000001</v>
      </c>
      <c r="AV96" s="124">
        <f t="shared" si="235"/>
        <v>-11.341</v>
      </c>
      <c r="AW96" s="125">
        <f t="shared" si="235"/>
        <v>5.847</v>
      </c>
      <c r="AX96" s="125">
        <f t="shared" si="264"/>
        <v>-5.847</v>
      </c>
      <c r="AY96" s="125">
        <f t="shared" si="264"/>
        <v>-24.108</v>
      </c>
      <c r="AZ96" s="125">
        <f t="shared" si="236"/>
        <v>0.0609999999999964</v>
      </c>
      <c r="BA96" s="124">
        <f t="shared" si="237"/>
        <v>-24.047</v>
      </c>
      <c r="BB96" s="125">
        <f t="shared" si="237"/>
        <v>-1.944</v>
      </c>
      <c r="BC96" s="125">
        <f t="shared" si="265"/>
        <v>1.944</v>
      </c>
      <c r="BD96" s="125">
        <f t="shared" si="265"/>
        <v>-89.661</v>
      </c>
      <c r="BE96" s="125">
        <f t="shared" si="238"/>
        <v>33.735</v>
      </c>
      <c r="BF96" s="124">
        <f t="shared" si="239"/>
        <v>-55.926</v>
      </c>
      <c r="BG96" s="125">
        <f t="shared" si="239"/>
        <v>-0.568</v>
      </c>
      <c r="BH96" s="125">
        <f t="shared" si="266"/>
        <v>-15.047</v>
      </c>
      <c r="BI96" s="125">
        <f t="shared" si="266"/>
        <v>-28.436</v>
      </c>
      <c r="BJ96" s="125">
        <f t="shared" si="240"/>
        <v>48.858</v>
      </c>
      <c r="BK96" s="124">
        <f t="shared" si="241"/>
        <v>4.807</v>
      </c>
      <c r="BL96" s="125">
        <f t="shared" si="241"/>
        <v>-1.811</v>
      </c>
      <c r="BM96" s="125">
        <f t="shared" si="242"/>
        <v>-0.661999999999999</v>
      </c>
      <c r="BN96" s="125">
        <f t="shared" si="242"/>
        <v>-8.847</v>
      </c>
      <c r="BO96" s="125">
        <f t="shared" si="242"/>
        <v>26.613</v>
      </c>
      <c r="BP96" s="124">
        <f t="shared" si="243"/>
        <v>15.293</v>
      </c>
      <c r="BQ96" s="125">
        <f t="shared" si="243"/>
        <v>3</v>
      </c>
      <c r="BR96" s="125">
        <f t="shared" si="244"/>
        <v>-23.979</v>
      </c>
      <c r="BS96" s="125">
        <f t="shared" si="244"/>
        <v>-27.204</v>
      </c>
      <c r="BT96" s="125">
        <f>BT139-BS139</f>
        <v>17.093</v>
      </c>
      <c r="BU96" s="124">
        <f t="shared" si="245"/>
        <v>-31.09</v>
      </c>
      <c r="BV96" s="125">
        <f t="shared" si="245"/>
        <v>-48.98</v>
      </c>
      <c r="BW96" s="125">
        <f t="shared" si="246"/>
        <v>-59.746</v>
      </c>
      <c r="BX96" s="125">
        <f t="shared" si="246"/>
        <v>31.396</v>
      </c>
      <c r="BY96" s="125">
        <f t="shared" si="246"/>
        <v>-40.051</v>
      </c>
      <c r="BZ96" s="124">
        <f>SUM(BV96:BY96)</f>
        <v>-117.381</v>
      </c>
      <c r="CA96" s="125">
        <f>CA139</f>
        <v>-57.515</v>
      </c>
      <c r="CB96" s="125">
        <f t="shared" si="247"/>
        <v>-59.156</v>
      </c>
      <c r="CC96" s="125">
        <f t="shared" si="247"/>
        <v>-33.22</v>
      </c>
      <c r="CD96" s="125">
        <f>CD139-CC139</f>
        <v>24.926</v>
      </c>
      <c r="CE96" s="124">
        <f>SUM(CA96:CD96)</f>
        <v>-124.965</v>
      </c>
      <c r="CF96" s="125">
        <f>CF139</f>
        <v>-9.232</v>
      </c>
      <c r="CG96" s="125">
        <f t="shared" si="248"/>
        <v>17.171</v>
      </c>
      <c r="CH96" s="125">
        <f t="shared" si="248"/>
        <v>-52.217</v>
      </c>
      <c r="CI96" s="125">
        <f t="shared" si="248"/>
        <v>-18.018</v>
      </c>
      <c r="CJ96" s="124">
        <f>SUM(CF96:CI96)</f>
        <v>-62.296</v>
      </c>
      <c r="CK96" s="172">
        <f>CK139</f>
        <v>2.419</v>
      </c>
      <c r="CL96" s="125">
        <f t="shared" si="249"/>
        <v>-63.357</v>
      </c>
      <c r="CM96" s="125">
        <f t="shared" si="249"/>
        <v>-29.574</v>
      </c>
      <c r="CN96" s="125">
        <f t="shared" si="249"/>
        <v>-90.022</v>
      </c>
      <c r="CO96" s="124">
        <f>SUM(CK96:CN96)</f>
        <v>-180.534</v>
      </c>
      <c r="CP96" s="172">
        <f>CP139</f>
        <v>30.76</v>
      </c>
      <c r="CQ96" s="125">
        <f t="shared" si="250"/>
        <v>-48.994</v>
      </c>
      <c r="CR96" s="125">
        <f t="shared" si="250"/>
        <v>-85.693</v>
      </c>
      <c r="CS96" s="125">
        <f t="shared" si="250"/>
        <v>99.722</v>
      </c>
      <c r="CT96" s="124">
        <f>SUM(CP96:CS96)</f>
        <v>-4.20500000000001</v>
      </c>
      <c r="CU96" s="172">
        <f>CU139</f>
        <v>-32.636</v>
      </c>
      <c r="CV96" s="125">
        <f>CV139-CU139</f>
        <v>-60.654</v>
      </c>
      <c r="CW96" s="125">
        <f t="shared" si="251"/>
        <v>-93.198</v>
      </c>
      <c r="CX96" s="125">
        <f t="shared" si="251"/>
        <v>39.463</v>
      </c>
      <c r="CY96" s="124">
        <f>SUM(CU96:CX96)</f>
        <v>-147.025</v>
      </c>
      <c r="CZ96" s="172">
        <f>CZ139</f>
        <v>-25.351</v>
      </c>
      <c r="DA96" s="125">
        <f>DA139-CZ139</f>
        <v>-46.586</v>
      </c>
      <c r="DB96" s="125">
        <f t="shared" si="252"/>
        <v>-170.841</v>
      </c>
      <c r="DC96" s="125">
        <f t="shared" si="252"/>
        <v>49.99</v>
      </c>
      <c r="DD96" s="124">
        <f>SUM(CZ96:DC96)</f>
        <v>-192.788</v>
      </c>
      <c r="DE96" s="172">
        <f>DE139</f>
        <v>-63.174</v>
      </c>
      <c r="DF96" s="125">
        <f>DF139-DE139</f>
        <v>-52.721</v>
      </c>
      <c r="DG96" s="125">
        <f>(DF176-DG176)+(DF189-DG189)</f>
        <v>0</v>
      </c>
      <c r="DH96" s="125">
        <f>(DG176-DH176)+(DG189-DH189)</f>
        <v>0</v>
      </c>
      <c r="DI96" s="124">
        <f>SUM(DE96:DH96)</f>
        <v>-115.895</v>
      </c>
      <c r="DJ96" s="125">
        <f>(DI176-DJ176)+(DI189-DJ189)</f>
        <v>0</v>
      </c>
      <c r="DK96" s="125">
        <f>(DJ176-DK176)+(DJ189-DK189)</f>
        <v>0</v>
      </c>
      <c r="DL96" s="125">
        <f>(DK176-DL176)+(DK189-DL189)</f>
        <v>0</v>
      </c>
      <c r="DM96" s="125">
        <f>(DL176-DM176)+(DL189-DM189)</f>
        <v>0</v>
      </c>
      <c r="DN96" s="124">
        <f>SUM(DJ96:DM96)</f>
        <v>0</v>
      </c>
      <c r="DO96" s="125">
        <f>(DN176-DO176)+(DN189-DO189)</f>
        <v>0</v>
      </c>
      <c r="DP96" s="125">
        <f>(DO176-DP176)+(DO189-DP189)</f>
        <v>0</v>
      </c>
      <c r="DQ96" s="125">
        <f>(DP176-DQ176)+(DP189-DQ189)</f>
        <v>0</v>
      </c>
      <c r="DR96" s="125">
        <f>(DQ176-DR176)+(DQ189-DR189)</f>
        <v>0</v>
      </c>
      <c r="DS96" s="124">
        <f>SUM(DO96:DR96)</f>
        <v>0</v>
      </c>
    </row>
    <row r="97" spans="1:123">
      <c r="B97" s="198" t="s">
        <v>107</v>
      </c>
      <c r="C97" s="124"/>
      <c r="H97" s="124"/>
      <c r="M97" s="124">
        <f>M140</f>
        <v>-1.099306</v>
      </c>
      <c r="R97" s="124">
        <f>R140</f>
        <v>0.540457</v>
      </c>
      <c r="W97" s="124">
        <f>W140</f>
        <v>0.831566</v>
      </c>
      <c r="AB97" s="124">
        <f>AB140</f>
        <v>6.025</v>
      </c>
      <c r="AG97" s="124">
        <f t="shared" si="230"/>
        <v>-5.167</v>
      </c>
      <c r="AH97" s="125">
        <f t="shared" si="230"/>
        <v>-3.104</v>
      </c>
      <c r="AI97" s="125">
        <f t="shared" si="229"/>
        <v>1.019</v>
      </c>
      <c r="AJ97" s="125">
        <f t="shared" si="229"/>
        <v>1.465</v>
      </c>
      <c r="AK97" s="125">
        <f>AK140-AJ140</f>
        <v>8.481</v>
      </c>
      <c r="AL97" s="124">
        <f t="shared" si="231"/>
        <v>7.861</v>
      </c>
      <c r="AM97" s="125">
        <f t="shared" si="231"/>
        <v>-10.225</v>
      </c>
      <c r="AN97" s="125">
        <f t="shared" si="262"/>
        <v>2.624</v>
      </c>
      <c r="AO97" s="125">
        <f t="shared" si="262"/>
        <v>-0.357</v>
      </c>
      <c r="AP97" s="125">
        <f t="shared" si="232"/>
        <v>25.428</v>
      </c>
      <c r="AQ97" s="124">
        <f t="shared" si="233"/>
        <v>17.47</v>
      </c>
      <c r="AR97" s="125">
        <f t="shared" si="233"/>
        <v>2.709</v>
      </c>
      <c r="AS97" s="125">
        <f t="shared" si="263"/>
        <v>8.958</v>
      </c>
      <c r="AT97" s="125">
        <f t="shared" si="263"/>
        <v>-48.211</v>
      </c>
      <c r="AU97" s="125">
        <f t="shared" si="234"/>
        <v>13.096</v>
      </c>
      <c r="AV97" s="124">
        <f t="shared" si="235"/>
        <v>-23.448</v>
      </c>
      <c r="AW97" s="125">
        <f t="shared" si="235"/>
        <v>-5.805</v>
      </c>
      <c r="AX97" s="125">
        <f t="shared" si="264"/>
        <v>0.0960000000000001</v>
      </c>
      <c r="AY97" s="125">
        <f t="shared" si="264"/>
        <v>2.729</v>
      </c>
      <c r="AZ97" s="125">
        <f t="shared" si="236"/>
        <v>0.782</v>
      </c>
      <c r="BA97" s="124">
        <f t="shared" si="237"/>
        <v>-2.198</v>
      </c>
      <c r="BB97" s="125">
        <f t="shared" si="237"/>
        <v>-4.092</v>
      </c>
      <c r="BC97" s="125">
        <f t="shared" si="265"/>
        <v>2.283</v>
      </c>
      <c r="BD97" s="125">
        <f t="shared" si="265"/>
        <v>-1.639</v>
      </c>
      <c r="BE97" s="125">
        <f t="shared" si="238"/>
        <v>4.695</v>
      </c>
      <c r="BF97" s="124">
        <f t="shared" si="239"/>
        <v>1.247</v>
      </c>
      <c r="BG97" s="125">
        <f t="shared" si="239"/>
        <v>-4.532</v>
      </c>
      <c r="BH97" s="125">
        <f t="shared" si="266"/>
        <v>2.02</v>
      </c>
      <c r="BI97" s="125">
        <f t="shared" si="266"/>
        <v>0.954</v>
      </c>
      <c r="BJ97" s="125">
        <f t="shared" si="240"/>
        <v>15.638</v>
      </c>
      <c r="BK97" s="124">
        <f t="shared" si="241"/>
        <v>14.08</v>
      </c>
      <c r="BL97" s="125">
        <f t="shared" si="241"/>
        <v>-15.798</v>
      </c>
      <c r="BM97" s="125">
        <f t="shared" si="242"/>
        <v>9.014</v>
      </c>
      <c r="BN97" s="125">
        <f t="shared" si="242"/>
        <v>-4.357</v>
      </c>
      <c r="BO97" s="125">
        <f t="shared" si="242"/>
        <v>9.59</v>
      </c>
      <c r="BP97" s="124">
        <f t="shared" si="243"/>
        <v>-1.551</v>
      </c>
      <c r="BQ97" s="125">
        <f t="shared" si="243"/>
        <v>-7.676</v>
      </c>
      <c r="BR97" s="125">
        <f t="shared" si="244"/>
        <v>94.561</v>
      </c>
      <c r="BS97" s="125">
        <f t="shared" si="244"/>
        <v>42.732</v>
      </c>
      <c r="BT97" s="125">
        <f>BT140-BS140</f>
        <v>-57.655</v>
      </c>
      <c r="BU97" s="124">
        <f t="shared" si="245"/>
        <v>71.962</v>
      </c>
      <c r="BV97" s="125">
        <f t="shared" si="245"/>
        <v>-5.42</v>
      </c>
      <c r="BW97" s="125">
        <f t="shared" si="246"/>
        <v>21.211</v>
      </c>
      <c r="BX97" s="125">
        <f t="shared" si="246"/>
        <v>5.294</v>
      </c>
      <c r="BY97" s="125">
        <f t="shared" si="246"/>
        <v>-35.895</v>
      </c>
      <c r="BZ97" s="124">
        <f>SUM(BV97:BY97)</f>
        <v>-14.81</v>
      </c>
      <c r="CA97" s="125">
        <f>CA140</f>
        <v>2.222</v>
      </c>
      <c r="CB97" s="125">
        <f t="shared" si="247"/>
        <v>33.745</v>
      </c>
      <c r="CC97" s="125">
        <f t="shared" si="247"/>
        <v>37.629</v>
      </c>
      <c r="CD97" s="125">
        <f>CD140-CC140</f>
        <v>9.06699999999999</v>
      </c>
      <c r="CE97" s="124">
        <f>SUM(CA97:CD97)</f>
        <v>82.663</v>
      </c>
      <c r="CF97" s="125">
        <f>CF140</f>
        <v>19.623</v>
      </c>
      <c r="CG97" s="125">
        <f t="shared" si="248"/>
        <v>8.609</v>
      </c>
      <c r="CH97" s="125">
        <f t="shared" si="248"/>
        <v>22.671</v>
      </c>
      <c r="CI97" s="125">
        <f t="shared" si="248"/>
        <v>66.752</v>
      </c>
      <c r="CJ97" s="124">
        <f>SUM(CF97:CI97)</f>
        <v>117.655</v>
      </c>
      <c r="CK97" s="172">
        <f>CK140</f>
        <v>20.63</v>
      </c>
      <c r="CL97" s="125">
        <f t="shared" si="249"/>
        <v>-48.879</v>
      </c>
      <c r="CM97" s="125">
        <f t="shared" si="249"/>
        <v>54.786</v>
      </c>
      <c r="CN97" s="125">
        <f t="shared" si="249"/>
        <v>-133.817</v>
      </c>
      <c r="CO97" s="124">
        <f>SUM(CK97:CN97)</f>
        <v>-107.28</v>
      </c>
      <c r="CP97" s="172">
        <f>CP140</f>
        <v>116.935</v>
      </c>
      <c r="CQ97" s="125">
        <f t="shared" si="250"/>
        <v>9.072</v>
      </c>
      <c r="CR97" s="125">
        <f t="shared" si="250"/>
        <v>15.678</v>
      </c>
      <c r="CS97" s="125">
        <f t="shared" si="250"/>
        <v>35.682</v>
      </c>
      <c r="CT97" s="124">
        <f>SUM(CP97:CS97)</f>
        <v>177.367</v>
      </c>
      <c r="CU97" s="172">
        <f>CU140</f>
        <v>-82.366</v>
      </c>
      <c r="CV97" s="125">
        <f>CV140-CU140</f>
        <v>58.683</v>
      </c>
      <c r="CW97" s="125">
        <f t="shared" si="251"/>
        <v>69.262</v>
      </c>
      <c r="CX97" s="125">
        <f t="shared" si="251"/>
        <v>-102.623</v>
      </c>
      <c r="CY97" s="124">
        <f>SUM(CU97:CX97)</f>
        <v>-57.044</v>
      </c>
      <c r="CZ97" s="172">
        <f>CZ140</f>
        <v>22.489</v>
      </c>
      <c r="DA97" s="125">
        <f>DA140-CZ140</f>
        <v>68.665</v>
      </c>
      <c r="DB97" s="125">
        <f t="shared" si="252"/>
        <v>-18.344</v>
      </c>
      <c r="DC97" s="125">
        <f t="shared" si="252"/>
        <v>-26.954</v>
      </c>
      <c r="DD97" s="124">
        <f>SUM(CZ97:DC97)</f>
        <v>45.856</v>
      </c>
      <c r="DE97" s="172">
        <f>DE140</f>
        <v>-37.691</v>
      </c>
      <c r="DF97" s="125">
        <f>DF140-DE140</f>
        <v>59.406</v>
      </c>
      <c r="DG97" s="125">
        <f>DG195-DF195</f>
        <v>21.580609348455</v>
      </c>
      <c r="DH97" s="125">
        <f>DH195-DG195</f>
        <v>-48.739544473272</v>
      </c>
      <c r="DI97" s="124">
        <f>SUM(DE97:DH97)</f>
        <v>-5.44393512481699</v>
      </c>
      <c r="DJ97" s="125">
        <f>DJ195-DI195</f>
        <v>-47.4986811958003</v>
      </c>
      <c r="DK97" s="125">
        <f>DK195-DJ195</f>
        <v>60.8448278616652</v>
      </c>
      <c r="DL97" s="125">
        <f>DL195-DK195</f>
        <v>24.5261340704897</v>
      </c>
      <c r="DM97" s="125">
        <f>DM195-DL195</f>
        <v>-36.9394926657613</v>
      </c>
      <c r="DN97" s="124">
        <f>SUM(DJ97:DM97)</f>
        <v>0.932788070593176</v>
      </c>
      <c r="DO97" s="125">
        <f>DO195-DN195</f>
        <v>-43.2259076942684</v>
      </c>
      <c r="DP97" s="125">
        <f>DP195-DO195</f>
        <v>56.6923559398405</v>
      </c>
      <c r="DQ97" s="125">
        <f>DQ195-DP195</f>
        <v>26.2052491048915</v>
      </c>
      <c r="DR97" s="125">
        <f>DR195-DQ195</f>
        <v>-35.3692491392936</v>
      </c>
      <c r="DS97" s="124">
        <f>SUM(DO97:DR97)</f>
        <v>4.30244821116992</v>
      </c>
    </row>
    <row r="98" spans="1:123">
      <c r="B98" s="198" t="s">
        <v>108</v>
      </c>
      <c r="C98" s="124"/>
      <c r="H98" s="124"/>
      <c r="M98" s="124">
        <f>M141</f>
        <v>14.197267</v>
      </c>
      <c r="R98" s="124">
        <f>R141</f>
        <v>6.328737</v>
      </c>
      <c r="W98" s="124">
        <f>W141</f>
        <v>20.154283</v>
      </c>
      <c r="AB98" s="124">
        <f>AB141</f>
        <v>16.993</v>
      </c>
      <c r="AG98" s="124">
        <f t="shared" si="230"/>
        <v>38.596</v>
      </c>
      <c r="AH98" s="125">
        <f t="shared" si="230"/>
        <v>-18.639</v>
      </c>
      <c r="AI98" s="125">
        <f t="shared" si="229"/>
        <v>4.78</v>
      </c>
      <c r="AJ98" s="125">
        <f t="shared" si="229"/>
        <v>14.643</v>
      </c>
      <c r="AK98" s="125">
        <f>AK141-AJ141</f>
        <v>19.449</v>
      </c>
      <c r="AL98" s="124">
        <f t="shared" si="231"/>
        <v>20.233</v>
      </c>
      <c r="AM98" s="125">
        <f t="shared" si="231"/>
        <v>-19.57</v>
      </c>
      <c r="AN98" s="125">
        <f t="shared" si="262"/>
        <v>1.21</v>
      </c>
      <c r="AO98" s="125">
        <f t="shared" si="262"/>
        <v>19.049</v>
      </c>
      <c r="AP98" s="125">
        <f t="shared" si="232"/>
        <v>18.909</v>
      </c>
      <c r="AQ98" s="124">
        <f t="shared" si="233"/>
        <v>19.598</v>
      </c>
      <c r="AR98" s="125">
        <f t="shared" si="233"/>
        <v>-43.806</v>
      </c>
      <c r="AS98" s="125">
        <f t="shared" si="263"/>
        <v>1.128</v>
      </c>
      <c r="AT98" s="125">
        <f t="shared" si="263"/>
        <v>41.955</v>
      </c>
      <c r="AU98" s="125">
        <f t="shared" si="234"/>
        <v>22.847</v>
      </c>
      <c r="AV98" s="124">
        <f t="shared" si="235"/>
        <v>22.124</v>
      </c>
      <c r="AW98" s="125">
        <f t="shared" si="235"/>
        <v>-2.938</v>
      </c>
      <c r="AX98" s="125">
        <f t="shared" si="264"/>
        <v>-2.985</v>
      </c>
      <c r="AY98" s="125">
        <f t="shared" si="264"/>
        <v>48.312</v>
      </c>
      <c r="AZ98" s="125">
        <f t="shared" si="236"/>
        <v>19.239</v>
      </c>
      <c r="BA98" s="124">
        <f t="shared" si="237"/>
        <v>61.628</v>
      </c>
      <c r="BB98" s="125">
        <f t="shared" si="237"/>
        <v>-13.201</v>
      </c>
      <c r="BC98" s="125">
        <f t="shared" si="265"/>
        <v>-12.449</v>
      </c>
      <c r="BD98" s="125">
        <f t="shared" si="265"/>
        <v>83.809</v>
      </c>
      <c r="BE98" s="125">
        <f t="shared" si="238"/>
        <v>20.063</v>
      </c>
      <c r="BF98" s="124">
        <f t="shared" si="239"/>
        <v>78.222</v>
      </c>
      <c r="BG98" s="125">
        <f t="shared" si="239"/>
        <v>-35.48</v>
      </c>
      <c r="BH98" s="125">
        <f t="shared" si="266"/>
        <v>3.762</v>
      </c>
      <c r="BI98" s="125">
        <f t="shared" si="266"/>
        <v>5.82</v>
      </c>
      <c r="BJ98" s="125">
        <f t="shared" si="240"/>
        <v>23.398</v>
      </c>
      <c r="BK98" s="124">
        <f t="shared" si="241"/>
        <v>-2.49999999999999</v>
      </c>
      <c r="BL98" s="125">
        <f t="shared" si="241"/>
        <v>-15.277</v>
      </c>
      <c r="BM98" s="125">
        <f t="shared" si="242"/>
        <v>-9.432</v>
      </c>
      <c r="BN98" s="125">
        <f t="shared" si="242"/>
        <v>1.198</v>
      </c>
      <c r="BO98" s="125">
        <f t="shared" si="242"/>
        <v>47.303</v>
      </c>
      <c r="BP98" s="124">
        <f t="shared" si="243"/>
        <v>23.792</v>
      </c>
      <c r="BQ98" s="125">
        <f t="shared" si="243"/>
        <v>-18.836</v>
      </c>
      <c r="BR98" s="125">
        <f t="shared" si="244"/>
        <v>-18.536</v>
      </c>
      <c r="BS98" s="125">
        <f t="shared" si="244"/>
        <v>46.979</v>
      </c>
      <c r="BT98" s="125">
        <f>BT141-BS141</f>
        <v>113.787</v>
      </c>
      <c r="BU98" s="124">
        <f t="shared" si="245"/>
        <v>123.394</v>
      </c>
      <c r="BV98" s="125">
        <f t="shared" si="245"/>
        <v>-109.557</v>
      </c>
      <c r="BW98" s="125">
        <f t="shared" si="246"/>
        <v>13.954</v>
      </c>
      <c r="BX98" s="125">
        <f t="shared" si="246"/>
        <v>0.557000000000002</v>
      </c>
      <c r="BY98" s="125">
        <f t="shared" si="246"/>
        <v>103.799</v>
      </c>
      <c r="BZ98" s="124">
        <f>SUM(BV98:BY98)</f>
        <v>8.753</v>
      </c>
      <c r="CA98" s="125">
        <f>CA141</f>
        <v>-66.05</v>
      </c>
      <c r="CB98" s="125">
        <f t="shared" si="247"/>
        <v>126.281</v>
      </c>
      <c r="CC98" s="125">
        <f t="shared" si="247"/>
        <v>-54.078</v>
      </c>
      <c r="CD98" s="125">
        <f>CD141-CC141</f>
        <v>120.937</v>
      </c>
      <c r="CE98" s="124">
        <f>SUM(CA98:CD98)</f>
        <v>127.09</v>
      </c>
      <c r="CF98" s="125">
        <f>CF141</f>
        <v>44.228</v>
      </c>
      <c r="CG98" s="125">
        <f t="shared" si="248"/>
        <v>24.353</v>
      </c>
      <c r="CH98" s="125">
        <f t="shared" si="248"/>
        <v>89.004</v>
      </c>
      <c r="CI98" s="125">
        <f t="shared" si="248"/>
        <v>243.858</v>
      </c>
      <c r="CJ98" s="124">
        <f>SUM(CF98:CI98)</f>
        <v>401.443</v>
      </c>
      <c r="CK98" s="172">
        <f>CK141</f>
        <v>-208.146</v>
      </c>
      <c r="CL98" s="125">
        <f t="shared" si="249"/>
        <v>29.382</v>
      </c>
      <c r="CM98" s="125">
        <f t="shared" si="249"/>
        <v>18.2389999999999</v>
      </c>
      <c r="CN98" s="125">
        <f t="shared" si="249"/>
        <v>374.47</v>
      </c>
      <c r="CO98" s="124">
        <f>SUM(CK98:CN98)</f>
        <v>213.945</v>
      </c>
      <c r="CP98" s="172">
        <f>CP141</f>
        <v>-200.89</v>
      </c>
      <c r="CQ98" s="125">
        <f t="shared" si="250"/>
        <v>-25.207</v>
      </c>
      <c r="CR98" s="125">
        <f t="shared" si="250"/>
        <v>47.524</v>
      </c>
      <c r="CS98" s="125">
        <f t="shared" si="250"/>
        <v>100.515</v>
      </c>
      <c r="CT98" s="124">
        <f>SUM(CP98:CS98)</f>
        <v>-78.058</v>
      </c>
      <c r="CU98" s="172">
        <f>CU141</f>
        <v>-190.151</v>
      </c>
      <c r="CV98" s="125">
        <f>CV141-CU141</f>
        <v>55.68</v>
      </c>
      <c r="CW98" s="125">
        <f t="shared" si="251"/>
        <v>193.392</v>
      </c>
      <c r="CX98" s="125">
        <f t="shared" si="251"/>
        <v>247.712</v>
      </c>
      <c r="CY98" s="124">
        <f>SUM(CU98:CX98)</f>
        <v>306.633</v>
      </c>
      <c r="CZ98" s="172">
        <f>CZ141</f>
        <v>-149.271</v>
      </c>
      <c r="DA98" s="125">
        <f>DA141-CZ141</f>
        <v>-335.439</v>
      </c>
      <c r="DB98" s="125">
        <f t="shared" si="252"/>
        <v>385.444</v>
      </c>
      <c r="DC98" s="125">
        <f t="shared" si="252"/>
        <v>91.223</v>
      </c>
      <c r="DD98" s="124">
        <f>SUM(CZ98:DC98)</f>
        <v>-8.04299999999996</v>
      </c>
      <c r="DE98" s="172">
        <f>DE141</f>
        <v>-104.442</v>
      </c>
      <c r="DF98" s="125">
        <f>DF141-DE141</f>
        <v>-62.038</v>
      </c>
      <c r="DG98" s="125">
        <f>(DG197-DF197)+(DG199-DF199)</f>
        <v>-28.7839881936325</v>
      </c>
      <c r="DH98" s="125">
        <f>(DH197-DG197)+(DH199-DG199)</f>
        <v>49.9601545217587</v>
      </c>
      <c r="DI98" s="124">
        <f>SUM(DE98:DH98)</f>
        <v>-145.303833671874</v>
      </c>
      <c r="DJ98" s="125">
        <f>(DJ197-DI197)+(DJ199-DI199)</f>
        <v>-24.5512663190357</v>
      </c>
      <c r="DK98" s="125">
        <f>(DK197-DJ197)+(DK199-DJ199)</f>
        <v>-17.2184113601017</v>
      </c>
      <c r="DL98" s="125">
        <f>(DL197-DK197)+(DL199-DK199)</f>
        <v>-21.5744215048412</v>
      </c>
      <c r="DM98" s="125">
        <f>(DM197-DL197)+(DM199-DL199)</f>
        <v>56.2235795318875</v>
      </c>
      <c r="DN98" s="124">
        <f>SUM(DJ98:DM98)</f>
        <v>-7.1205196520911</v>
      </c>
      <c r="DO98" s="125">
        <f>(DO197-DN197)+(DO199-DN199)</f>
        <v>-20.2926341539037</v>
      </c>
      <c r="DP98" s="125">
        <f>(DP197-DO197)+(DP199-DO199)</f>
        <v>-14.2494749297259</v>
      </c>
      <c r="DQ98" s="125">
        <f>(DQ197-DP197)+(DQ199-DP199)</f>
        <v>-20.5088590293323</v>
      </c>
      <c r="DR98" s="125">
        <f>(DR197-DQ197)+(DR199-DQ199)</f>
        <v>58.3038990266814</v>
      </c>
      <c r="DS98" s="124">
        <f>SUM(DO98:DR98)</f>
        <v>3.25293091371941</v>
      </c>
    </row>
    <row r="99" spans="1:123">
      <c r="B99" s="198"/>
      <c r="C99" s="124"/>
      <c r="H99" s="124"/>
      <c r="M99" s="124"/>
      <c r="R99" s="124"/>
      <c r="W99" s="124"/>
      <c r="AB99" s="124"/>
      <c r="AG99" s="124"/>
      <c r="AL99" s="124"/>
      <c r="AQ99" s="124"/>
      <c r="AV99" s="124"/>
      <c r="BA99" s="124"/>
      <c r="BF99" s="124"/>
      <c r="BK99" s="124"/>
      <c r="BP99" s="124"/>
      <c r="BU99" s="124"/>
      <c r="BZ99" s="124"/>
      <c r="CE99" s="124"/>
      <c r="CJ99" s="124"/>
      <c r="CK99" s="172"/>
      <c r="CO99" s="124"/>
      <c r="CP99" s="172"/>
      <c r="CT99" s="124"/>
      <c r="CU99" s="172"/>
      <c r="CY99" s="124"/>
      <c r="CZ99" s="172"/>
      <c r="DD99" s="124"/>
      <c r="DE99" s="172"/>
      <c r="DI99" s="124"/>
      <c r="DN99" s="124"/>
      <c r="DS99" s="124"/>
    </row>
    <row r="100" s="3" customFormat="1" spans="1:123">
      <c r="A100" s="132"/>
      <c r="B100" s="227" t="s">
        <v>109</v>
      </c>
      <c r="C100" s="131"/>
      <c r="D100" s="132"/>
      <c r="E100" s="132"/>
      <c r="F100" s="132"/>
      <c r="G100" s="132"/>
      <c r="H100" s="131"/>
      <c r="I100" s="132"/>
      <c r="J100" s="132"/>
      <c r="K100" s="132"/>
      <c r="L100" s="132"/>
      <c r="M100" s="131">
        <f>SUM(M94:M98)</f>
        <v>5.416659</v>
      </c>
      <c r="N100" s="132"/>
      <c r="O100" s="132"/>
      <c r="P100" s="132"/>
      <c r="Q100" s="132"/>
      <c r="R100" s="131">
        <f>SUM(R94:R98)</f>
        <v>-6.264916</v>
      </c>
      <c r="S100" s="132"/>
      <c r="T100" s="132"/>
      <c r="U100" s="132"/>
      <c r="V100" s="132"/>
      <c r="W100" s="131">
        <f>SUM(W94:W98)</f>
        <v>-0.736925000000003</v>
      </c>
      <c r="X100" s="132"/>
      <c r="Y100" s="132"/>
      <c r="Z100" s="132"/>
      <c r="AA100" s="132"/>
      <c r="AB100" s="131">
        <f>SUM(AB94:AB98)</f>
        <v>30.79</v>
      </c>
      <c r="AC100" s="132"/>
      <c r="AD100" s="132"/>
      <c r="AE100" s="132"/>
      <c r="AF100" s="132"/>
      <c r="AG100" s="131">
        <f t="shared" ref="AG100:BL100" si="267">SUM(AG94:AG98)</f>
        <v>23.966</v>
      </c>
      <c r="AH100" s="132">
        <f t="shared" si="267"/>
        <v>-34.138</v>
      </c>
      <c r="AI100" s="132">
        <f t="shared" si="267"/>
        <v>-22.216</v>
      </c>
      <c r="AJ100" s="132">
        <f t="shared" si="267"/>
        <v>-13.766</v>
      </c>
      <c r="AK100" s="132">
        <f t="shared" si="267"/>
        <v>56.39</v>
      </c>
      <c r="AL100" s="131">
        <f t="shared" si="267"/>
        <v>-13.73</v>
      </c>
      <c r="AM100" s="132">
        <f t="shared" si="267"/>
        <v>-40.555</v>
      </c>
      <c r="AN100" s="132">
        <f t="shared" si="267"/>
        <v>-23.084</v>
      </c>
      <c r="AO100" s="132">
        <f t="shared" si="267"/>
        <v>-20.448</v>
      </c>
      <c r="AP100" s="132">
        <f t="shared" si="267"/>
        <v>51.829</v>
      </c>
      <c r="AQ100" s="131">
        <f t="shared" si="267"/>
        <v>-32.258</v>
      </c>
      <c r="AR100" s="132">
        <f t="shared" si="267"/>
        <v>-55.032</v>
      </c>
      <c r="AS100" s="132">
        <f t="shared" si="267"/>
        <v>-19.818</v>
      </c>
      <c r="AT100" s="132">
        <f t="shared" si="267"/>
        <v>10.814</v>
      </c>
      <c r="AU100" s="132">
        <f t="shared" si="267"/>
        <v>13.964</v>
      </c>
      <c r="AV100" s="131">
        <f t="shared" si="267"/>
        <v>-50.072</v>
      </c>
      <c r="AW100" s="132">
        <f t="shared" si="267"/>
        <v>8.345</v>
      </c>
      <c r="AX100" s="132">
        <f t="shared" si="267"/>
        <v>-9.997</v>
      </c>
      <c r="AY100" s="132">
        <f t="shared" si="267"/>
        <v>-27.199</v>
      </c>
      <c r="AZ100" s="132">
        <f t="shared" si="267"/>
        <v>37.428</v>
      </c>
      <c r="BA100" s="131">
        <f t="shared" si="267"/>
        <v>8.577</v>
      </c>
      <c r="BB100" s="132">
        <f t="shared" si="267"/>
        <v>-45.034</v>
      </c>
      <c r="BC100" s="132">
        <f t="shared" si="267"/>
        <v>-56.435</v>
      </c>
      <c r="BD100" s="132">
        <f t="shared" si="267"/>
        <v>-84.798</v>
      </c>
      <c r="BE100" s="132">
        <f t="shared" si="267"/>
        <v>126.524</v>
      </c>
      <c r="BF100" s="131">
        <f t="shared" si="267"/>
        <v>-59.743</v>
      </c>
      <c r="BG100" s="132">
        <f t="shared" si="267"/>
        <v>-27.668</v>
      </c>
      <c r="BH100" s="132">
        <f t="shared" si="267"/>
        <v>-5.23</v>
      </c>
      <c r="BI100" s="132">
        <f t="shared" si="267"/>
        <v>-112.269</v>
      </c>
      <c r="BJ100" s="132">
        <f t="shared" si="267"/>
        <v>156.151</v>
      </c>
      <c r="BK100" s="131">
        <f t="shared" si="267"/>
        <v>10.984</v>
      </c>
      <c r="BL100" s="132">
        <f t="shared" si="267"/>
        <v>-46.331</v>
      </c>
      <c r="BM100" s="132">
        <f t="shared" ref="BM100:CO100" si="268">SUM(BM94:BM98)</f>
        <v>2.324</v>
      </c>
      <c r="BN100" s="132">
        <f t="shared" si="268"/>
        <v>-97.44</v>
      </c>
      <c r="BO100" s="132">
        <f t="shared" si="268"/>
        <v>157.803</v>
      </c>
      <c r="BP100" s="131">
        <f t="shared" si="268"/>
        <v>16.356</v>
      </c>
      <c r="BQ100" s="132">
        <f t="shared" si="268"/>
        <v>-74.282</v>
      </c>
      <c r="BR100" s="132">
        <f t="shared" si="268"/>
        <v>29.751</v>
      </c>
      <c r="BS100" s="132">
        <f t="shared" si="268"/>
        <v>-42.318</v>
      </c>
      <c r="BT100" s="132">
        <f t="shared" si="268"/>
        <v>165.173</v>
      </c>
      <c r="BU100" s="131">
        <f t="shared" si="268"/>
        <v>78.324</v>
      </c>
      <c r="BV100" s="132">
        <f t="shared" si="268"/>
        <v>-206.813</v>
      </c>
      <c r="BW100" s="132">
        <f t="shared" si="268"/>
        <v>-75.083</v>
      </c>
      <c r="BX100" s="132">
        <f t="shared" si="268"/>
        <v>-94.519</v>
      </c>
      <c r="BY100" s="132">
        <f t="shared" si="268"/>
        <v>135.386</v>
      </c>
      <c r="BZ100" s="131">
        <f t="shared" si="268"/>
        <v>-241.029</v>
      </c>
      <c r="CA100" s="132">
        <f t="shared" ref="CA100:CI100" si="269">SUM(CA94:CA98)</f>
        <v>-244.153</v>
      </c>
      <c r="CB100" s="132">
        <f t="shared" si="269"/>
        <v>85.486</v>
      </c>
      <c r="CC100" s="132">
        <f t="shared" si="269"/>
        <v>-145.629</v>
      </c>
      <c r="CD100" s="132">
        <f t="shared" si="269"/>
        <v>292.536</v>
      </c>
      <c r="CE100" s="131">
        <f t="shared" si="269"/>
        <v>-11.76</v>
      </c>
      <c r="CF100" s="132">
        <f t="shared" si="269"/>
        <v>-19.599</v>
      </c>
      <c r="CG100" s="132">
        <f t="shared" si="269"/>
        <v>-13.013</v>
      </c>
      <c r="CH100" s="132">
        <f t="shared" si="269"/>
        <v>-91.9990000000001</v>
      </c>
      <c r="CI100" s="132">
        <f t="shared" si="269"/>
        <v>257.804</v>
      </c>
      <c r="CJ100" s="131">
        <f t="shared" si="268"/>
        <v>133.193</v>
      </c>
      <c r="CK100" s="132">
        <f t="shared" si="268"/>
        <v>-505.704</v>
      </c>
      <c r="CL100" s="132">
        <f t="shared" si="268"/>
        <v>-272.814</v>
      </c>
      <c r="CM100" s="132">
        <f t="shared" si="268"/>
        <v>-278.006</v>
      </c>
      <c r="CN100" s="132">
        <f t="shared" si="268"/>
        <v>472.145</v>
      </c>
      <c r="CO100" s="131">
        <f t="shared" si="268"/>
        <v>-584.379</v>
      </c>
      <c r="CP100" s="132">
        <f t="shared" ref="CP100:DI100" si="270">SUM(CP94:CP98)</f>
        <v>-208.369</v>
      </c>
      <c r="CQ100" s="132">
        <f t="shared" si="270"/>
        <v>-144.005</v>
      </c>
      <c r="CR100" s="132">
        <f t="shared" si="270"/>
        <v>-90.242</v>
      </c>
      <c r="CS100" s="132">
        <f t="shared" si="270"/>
        <v>604.304</v>
      </c>
      <c r="CT100" s="131">
        <f t="shared" si="270"/>
        <v>161.688</v>
      </c>
      <c r="CU100" s="132">
        <f t="shared" si="270"/>
        <v>-341.578</v>
      </c>
      <c r="CV100" s="132">
        <f t="shared" si="270"/>
        <v>-35.942</v>
      </c>
      <c r="CW100" s="132">
        <f t="shared" ref="CW100:CX100" si="271">SUM(CW94:CW98)</f>
        <v>-182.15</v>
      </c>
      <c r="CX100" s="132">
        <f t="shared" si="271"/>
        <v>507.775</v>
      </c>
      <c r="CY100" s="131">
        <f t="shared" si="270"/>
        <v>-51.895</v>
      </c>
      <c r="CZ100" s="132">
        <f t="shared" ref="CZ100:DC100" si="272">SUM(CZ94:CZ98)</f>
        <v>-344.956</v>
      </c>
      <c r="DA100" s="132">
        <f t="shared" si="272"/>
        <v>-374.369</v>
      </c>
      <c r="DB100" s="132">
        <f t="shared" si="272"/>
        <v>-194.812</v>
      </c>
      <c r="DC100" s="132">
        <f t="shared" si="272"/>
        <v>504.697</v>
      </c>
      <c r="DD100" s="131">
        <f t="shared" si="270"/>
        <v>-409.44</v>
      </c>
      <c r="DE100" s="132">
        <f t="shared" si="270"/>
        <v>-154.998</v>
      </c>
      <c r="DF100" s="132">
        <f t="shared" si="270"/>
        <v>-99.642</v>
      </c>
      <c r="DG100" s="132">
        <f t="shared" si="270"/>
        <v>-410.935093655775</v>
      </c>
      <c r="DH100" s="132">
        <f t="shared" si="270"/>
        <v>328.575020801823</v>
      </c>
      <c r="DI100" s="131">
        <f t="shared" si="270"/>
        <v>-337.000072853952</v>
      </c>
      <c r="DJ100" s="132">
        <f t="shared" ref="DJ100:DN100" si="273">SUM(DJ94:DJ98)</f>
        <v>83.2119570843623</v>
      </c>
      <c r="DK100" s="132">
        <f t="shared" si="273"/>
        <v>-47.8747463517624</v>
      </c>
      <c r="DL100" s="132">
        <f t="shared" si="273"/>
        <v>-408.213978389989</v>
      </c>
      <c r="DM100" s="132">
        <f t="shared" si="273"/>
        <v>365.782953369588</v>
      </c>
      <c r="DN100" s="131">
        <f t="shared" si="273"/>
        <v>-7.09381428780111</v>
      </c>
      <c r="DO100" s="132">
        <f t="shared" ref="DO100:DS100" si="274">SUM(DO94:DO98)</f>
        <v>62.6479439007423</v>
      </c>
      <c r="DP100" s="132">
        <f t="shared" si="274"/>
        <v>-24.6168710348541</v>
      </c>
      <c r="DQ100" s="132">
        <f t="shared" si="274"/>
        <v>-416.923071310086</v>
      </c>
      <c r="DR100" s="132">
        <f t="shared" si="274"/>
        <v>360.533209301302</v>
      </c>
      <c r="DS100" s="131">
        <f t="shared" si="274"/>
        <v>-18.3587891428957</v>
      </c>
    </row>
    <row r="101" spans="1:123">
      <c r="B101" s="198" t="s">
        <v>110</v>
      </c>
      <c r="C101" s="124"/>
      <c r="H101" s="124"/>
      <c r="M101" s="124">
        <f>M144</f>
        <v>4.2928711</v>
      </c>
      <c r="R101" s="124">
        <f>R144</f>
        <v>-3.608779</v>
      </c>
      <c r="W101" s="124">
        <f>W144</f>
        <v>-16.482151</v>
      </c>
      <c r="AB101" s="124">
        <f>AB144</f>
        <v>2.441</v>
      </c>
      <c r="AG101" s="124">
        <f>AG144</f>
        <v>1.945</v>
      </c>
      <c r="AH101" s="125">
        <f>AH144</f>
        <v>-2.493</v>
      </c>
      <c r="AI101" s="125">
        <f>AI144-AH144</f>
        <v>-12.385</v>
      </c>
      <c r="AJ101" s="125">
        <f>AJ144-AI144</f>
        <v>-1.191</v>
      </c>
      <c r="AK101" s="125">
        <f>AK144-AJ144</f>
        <v>7.851</v>
      </c>
      <c r="AL101" s="124">
        <f>AL144</f>
        <v>-8.218</v>
      </c>
      <c r="AM101" s="125">
        <f>AM144</f>
        <v>-4.156</v>
      </c>
      <c r="AN101" s="125">
        <f>AN144-AM144</f>
        <v>-0.880000000000001</v>
      </c>
      <c r="AO101" s="125">
        <f>AO144-AN144</f>
        <v>-2.483</v>
      </c>
      <c r="AP101" s="125">
        <f>AP144-AO144</f>
        <v>-3.733</v>
      </c>
      <c r="AQ101" s="124">
        <f>AQ144</f>
        <v>-11.252</v>
      </c>
      <c r="AR101" s="125">
        <f>AR144</f>
        <v>21.159</v>
      </c>
      <c r="AS101" s="125">
        <f>AS144-AR144</f>
        <v>-2.928</v>
      </c>
      <c r="AT101" s="125">
        <f>AT144-AS144</f>
        <v>-78.42</v>
      </c>
      <c r="AU101" s="125">
        <f>AU144-AT144</f>
        <v>49.078</v>
      </c>
      <c r="AV101" s="124">
        <f>AV144</f>
        <v>-11.111</v>
      </c>
      <c r="AW101" s="125">
        <f>AW144</f>
        <v>-1.74</v>
      </c>
      <c r="AX101" s="125">
        <f>AX144-AW144</f>
        <v>2.293</v>
      </c>
      <c r="AY101" s="125">
        <f>AY144-AX144</f>
        <v>-1.149</v>
      </c>
      <c r="AZ101" s="125">
        <f>AZ144-AY144</f>
        <v>-1.285</v>
      </c>
      <c r="BA101" s="124">
        <f>BA144</f>
        <v>-1.881</v>
      </c>
      <c r="BB101" s="125">
        <f>BB144</f>
        <v>0</v>
      </c>
      <c r="BC101" s="125">
        <f>BC144-BB144</f>
        <v>-0.649</v>
      </c>
      <c r="BD101" s="125">
        <f>BD144-BC144</f>
        <v>-0.017</v>
      </c>
      <c r="BE101" s="125">
        <f>BE144-BD144</f>
        <v>-1.779</v>
      </c>
      <c r="BF101" s="124">
        <f>BF144</f>
        <v>-2.445</v>
      </c>
      <c r="BG101" s="125">
        <f>BG144</f>
        <v>0</v>
      </c>
      <c r="BH101" s="125">
        <f>BH144-BG144</f>
        <v>-13.884</v>
      </c>
      <c r="BI101" s="125">
        <f>BI144-BH144</f>
        <v>12.556</v>
      </c>
      <c r="BJ101" s="125">
        <f>BJ144-BI144</f>
        <v>-14.8647006146613</v>
      </c>
      <c r="BK101" s="124">
        <f>BK144</f>
        <v>-16.3907006146613</v>
      </c>
      <c r="BL101" s="125">
        <f>BL144</f>
        <v>8.592</v>
      </c>
      <c r="BM101" s="125">
        <f>BM144-BL144</f>
        <v>-2.783</v>
      </c>
      <c r="BN101" s="125">
        <f>BN144-BM144</f>
        <v>53.254</v>
      </c>
      <c r="BO101" s="125">
        <f>BO144-BN144</f>
        <v>40.827</v>
      </c>
      <c r="BP101" s="124">
        <f>BP144</f>
        <v>99.89</v>
      </c>
      <c r="BQ101" s="125">
        <f>BQ144</f>
        <v>2.6</v>
      </c>
      <c r="BR101" s="125">
        <f>BR144-BQ144</f>
        <v>10.093</v>
      </c>
      <c r="BS101" s="125">
        <f>BS144-BR144</f>
        <v>17.583</v>
      </c>
      <c r="BT101" s="125">
        <f>BT144-BS144</f>
        <v>-17.46</v>
      </c>
      <c r="BU101" s="124">
        <f>BU144</f>
        <v>12.816</v>
      </c>
      <c r="BV101" s="125">
        <f>BV144</f>
        <v>4.427</v>
      </c>
      <c r="BW101" s="125">
        <f>BW144-BV144</f>
        <v>13.491</v>
      </c>
      <c r="BX101" s="125">
        <f>BX144-BW144</f>
        <v>-44.486</v>
      </c>
      <c r="BY101" s="125">
        <f>BY144-BX144</f>
        <v>59.662</v>
      </c>
      <c r="BZ101" s="124">
        <f>SUM(BV101:BY101)</f>
        <v>33.094</v>
      </c>
      <c r="CA101" s="125">
        <f>CA144</f>
        <v>44.618</v>
      </c>
      <c r="CB101" s="125">
        <f>CB144-CA144</f>
        <v>-47.41</v>
      </c>
      <c r="CC101" s="125">
        <f>CC144-CB144</f>
        <v>-36.891</v>
      </c>
      <c r="CD101" s="125">
        <f>CD144-CC144</f>
        <v>-5.319</v>
      </c>
      <c r="CE101" s="124">
        <f>SUM(CA101:CD101)</f>
        <v>-45.002</v>
      </c>
      <c r="CF101" s="125">
        <f>CF144</f>
        <v>23.335</v>
      </c>
      <c r="CG101" s="125">
        <f>CG144-CF144</f>
        <v>21.675</v>
      </c>
      <c r="CH101" s="125">
        <f>CH144-CG144</f>
        <v>-17.057</v>
      </c>
      <c r="CI101" s="125">
        <f>CI144-CH144</f>
        <v>-35.523</v>
      </c>
      <c r="CJ101" s="124">
        <f>SUM(CF101:CI101)</f>
        <v>-7.57</v>
      </c>
      <c r="CK101" s="125">
        <f>CK144</f>
        <v>-10.378</v>
      </c>
      <c r="CL101" s="125">
        <f>CL144-CK144</f>
        <v>-7.857</v>
      </c>
      <c r="CM101" s="125">
        <f>CM144-CL144</f>
        <v>-11.147</v>
      </c>
      <c r="CN101" s="125">
        <f>CN144-CM144</f>
        <v>352.516</v>
      </c>
      <c r="CO101" s="124">
        <f>SUM(CK101:CN101)</f>
        <v>323.134</v>
      </c>
      <c r="CP101" s="125">
        <f>CP144</f>
        <v>-141.229</v>
      </c>
      <c r="CQ101" s="125">
        <f>CQ144-CP144</f>
        <v>160.099</v>
      </c>
      <c r="CR101" s="125">
        <f>CR144-CQ144</f>
        <v>108.839</v>
      </c>
      <c r="CS101" s="125">
        <f>CS144-CR144</f>
        <v>12.016</v>
      </c>
      <c r="CT101" s="124">
        <f>SUM(CP101:CS101)</f>
        <v>139.725</v>
      </c>
      <c r="CU101" s="125">
        <f>CU144</f>
        <v>26.164</v>
      </c>
      <c r="CV101" s="125">
        <f>CV144-CU144</f>
        <v>-38.98</v>
      </c>
      <c r="CW101" s="125">
        <f>CW144-CV144</f>
        <v>-6.829</v>
      </c>
      <c r="CX101" s="125">
        <f>CX144-CW144</f>
        <v>-64.349</v>
      </c>
      <c r="CY101" s="124">
        <f>SUM(CU101:CX101)</f>
        <v>-83.994</v>
      </c>
      <c r="CZ101" s="125">
        <f>CZ144</f>
        <v>-226.19</v>
      </c>
      <c r="DA101" s="125">
        <f>DA144-CZ144</f>
        <v>214.269</v>
      </c>
      <c r="DB101" s="125">
        <f>DB144-DA144</f>
        <v>-6.156</v>
      </c>
      <c r="DC101" s="125">
        <f>DC144-DB144</f>
        <v>-54.241</v>
      </c>
      <c r="DD101" s="124">
        <f>SUM(CZ101:DC101)</f>
        <v>-72.318</v>
      </c>
      <c r="DE101" s="125">
        <f>DE144</f>
        <v>9.869</v>
      </c>
      <c r="DF101" s="125">
        <f>DF144-DE144</f>
        <v>-18.164</v>
      </c>
      <c r="DG101" s="125">
        <f>(DF191-DG191)+(DG203-DF203)</f>
        <v>0</v>
      </c>
      <c r="DH101" s="125">
        <f>(DG191-DH191)+(DH203-DG203)</f>
        <v>0</v>
      </c>
      <c r="DI101" s="124">
        <f>SUM(DE101:DH101)</f>
        <v>-8.295</v>
      </c>
      <c r="DJ101" s="125">
        <f>(DI191-DJ191)+(DJ203-DI203)</f>
        <v>0</v>
      </c>
      <c r="DK101" s="125">
        <f>(DJ191-DK191)+(DK203-DJ203)</f>
        <v>0</v>
      </c>
      <c r="DL101" s="125">
        <f>(DK191-DL191)+(DL203-DK203)</f>
        <v>0</v>
      </c>
      <c r="DM101" s="125">
        <f>(DL191-DM191)+(DM203-DL203)</f>
        <v>0</v>
      </c>
      <c r="DN101" s="124">
        <f>SUM(DJ101:DM101)</f>
        <v>0</v>
      </c>
      <c r="DO101" s="125">
        <f>(DN191-DO191)+(DO203-DN203)</f>
        <v>0</v>
      </c>
      <c r="DP101" s="125">
        <f>(DO191-DP191)+(DP203-DO203)</f>
        <v>0</v>
      </c>
      <c r="DQ101" s="125">
        <f>(DP191-DQ191)+(DQ203-DP203)</f>
        <v>0</v>
      </c>
      <c r="DR101" s="125">
        <f>(DQ191-DR191)+(DR203-DQ203)</f>
        <v>0</v>
      </c>
      <c r="DS101" s="124">
        <f>SUM(DO101:DR101)</f>
        <v>0</v>
      </c>
    </row>
    <row r="102" spans="1:123">
      <c r="B102" s="198"/>
      <c r="C102" s="124"/>
      <c r="H102" s="124"/>
      <c r="M102" s="124"/>
      <c r="R102" s="124"/>
      <c r="W102" s="124"/>
      <c r="AB102" s="124"/>
      <c r="AG102" s="124"/>
      <c r="AL102" s="124"/>
      <c r="AQ102" s="124"/>
      <c r="AV102" s="124"/>
      <c r="BA102" s="124"/>
      <c r="BF102" s="124"/>
      <c r="BK102" s="124"/>
      <c r="BP102" s="124"/>
      <c r="BU102" s="124"/>
      <c r="BZ102" s="124"/>
      <c r="CE102" s="124"/>
      <c r="CJ102" s="124"/>
      <c r="CO102" s="124"/>
      <c r="CT102" s="124"/>
      <c r="CY102" s="124"/>
      <c r="DD102" s="124"/>
      <c r="DI102" s="124"/>
      <c r="DN102" s="124"/>
      <c r="DS102" s="124"/>
    </row>
    <row r="103" s="3" customFormat="1" spans="1:123">
      <c r="A103" s="132"/>
      <c r="B103" s="597" t="s">
        <v>111</v>
      </c>
      <c r="C103" s="598"/>
      <c r="D103" s="599"/>
      <c r="E103" s="599"/>
      <c r="F103" s="599"/>
      <c r="G103" s="599"/>
      <c r="H103" s="598"/>
      <c r="I103" s="599"/>
      <c r="J103" s="599"/>
      <c r="K103" s="599"/>
      <c r="L103" s="599"/>
      <c r="M103" s="598">
        <f>SUM(M89:M92,M100:M101)</f>
        <v>24.9141171</v>
      </c>
      <c r="N103" s="599"/>
      <c r="O103" s="599"/>
      <c r="P103" s="599"/>
      <c r="Q103" s="599"/>
      <c r="R103" s="598">
        <f>SUM(R89:R92,R100:R101)</f>
        <v>36.480537</v>
      </c>
      <c r="S103" s="599"/>
      <c r="T103" s="599"/>
      <c r="U103" s="599"/>
      <c r="V103" s="599"/>
      <c r="W103" s="598">
        <f>SUM(W89:W92,W100:W101)</f>
        <v>45.637774</v>
      </c>
      <c r="X103" s="599"/>
      <c r="Y103" s="599"/>
      <c r="Z103" s="599"/>
      <c r="AA103" s="599"/>
      <c r="AB103" s="598">
        <f>SUM(AB89:AB92,AB100:AB101)</f>
        <v>117.96</v>
      </c>
      <c r="AC103" s="599"/>
      <c r="AD103" s="599"/>
      <c r="AE103" s="599"/>
      <c r="AF103" s="599"/>
      <c r="AG103" s="598">
        <f t="shared" ref="AG103:BL103" si="275">SUM(AG89:AG92,AG100:AG101)</f>
        <v>179.995</v>
      </c>
      <c r="AH103" s="599">
        <f t="shared" si="275"/>
        <v>5.655</v>
      </c>
      <c r="AI103" s="599">
        <f t="shared" si="275"/>
        <v>13.874</v>
      </c>
      <c r="AJ103" s="599">
        <f t="shared" si="275"/>
        <v>33.99</v>
      </c>
      <c r="AK103" s="599">
        <f t="shared" si="275"/>
        <v>150.096</v>
      </c>
      <c r="AL103" s="598">
        <f t="shared" si="275"/>
        <v>203.615</v>
      </c>
      <c r="AM103" s="599">
        <f t="shared" si="275"/>
        <v>15.952</v>
      </c>
      <c r="AN103" s="599">
        <f t="shared" si="275"/>
        <v>47.568</v>
      </c>
      <c r="AO103" s="599">
        <f t="shared" si="275"/>
        <v>49.7200000000001</v>
      </c>
      <c r="AP103" s="599">
        <f t="shared" si="275"/>
        <v>166.873</v>
      </c>
      <c r="AQ103" s="598">
        <f t="shared" si="275"/>
        <v>280.113</v>
      </c>
      <c r="AR103" s="599">
        <f t="shared" si="275"/>
        <v>25.1350000000001</v>
      </c>
      <c r="AS103" s="599">
        <f t="shared" si="275"/>
        <v>45.797</v>
      </c>
      <c r="AT103" s="599">
        <f t="shared" si="275"/>
        <v>23.874</v>
      </c>
      <c r="AU103" s="599">
        <f t="shared" si="275"/>
        <v>183.533</v>
      </c>
      <c r="AV103" s="598">
        <f t="shared" si="275"/>
        <v>278.339</v>
      </c>
      <c r="AW103" s="599">
        <f t="shared" si="275"/>
        <v>70.969</v>
      </c>
      <c r="AX103" s="599">
        <f t="shared" si="275"/>
        <v>52.996</v>
      </c>
      <c r="AY103" s="599">
        <f t="shared" si="275"/>
        <v>42.828</v>
      </c>
      <c r="AZ103" s="599">
        <f t="shared" si="275"/>
        <v>147.675</v>
      </c>
      <c r="BA103" s="598">
        <f t="shared" si="275"/>
        <v>314.449</v>
      </c>
      <c r="BB103" s="599">
        <f t="shared" si="275"/>
        <v>20.94</v>
      </c>
      <c r="BC103" s="599">
        <f t="shared" si="275"/>
        <v>11.221</v>
      </c>
      <c r="BD103" s="599">
        <f t="shared" si="275"/>
        <v>-6.22800000000001</v>
      </c>
      <c r="BE103" s="599">
        <f t="shared" si="275"/>
        <v>272.8</v>
      </c>
      <c r="BF103" s="598">
        <f t="shared" si="275"/>
        <v>298.74</v>
      </c>
      <c r="BG103" s="600">
        <f t="shared" si="275"/>
        <v>39.734</v>
      </c>
      <c r="BH103" s="599">
        <f t="shared" si="275"/>
        <v>60.254</v>
      </c>
      <c r="BI103" s="599">
        <f t="shared" si="275"/>
        <v>-2.65699999999995</v>
      </c>
      <c r="BJ103" s="599">
        <f t="shared" si="275"/>
        <v>287.795583385339</v>
      </c>
      <c r="BK103" s="598">
        <f t="shared" si="275"/>
        <v>385.119</v>
      </c>
      <c r="BL103" s="599">
        <f t="shared" si="275"/>
        <v>19.4</v>
      </c>
      <c r="BM103" s="599">
        <f t="shared" ref="BM103:CO103" si="276">SUM(BM89:BM92,BM100:BM101)</f>
        <v>82.6380000000001</v>
      </c>
      <c r="BN103" s="599">
        <f t="shared" si="276"/>
        <v>29.2870000000001</v>
      </c>
      <c r="BO103" s="599">
        <f t="shared" si="276"/>
        <v>358.028</v>
      </c>
      <c r="BP103" s="598">
        <f t="shared" si="276"/>
        <v>489.336</v>
      </c>
      <c r="BQ103" s="599">
        <f t="shared" si="276"/>
        <v>35.837</v>
      </c>
      <c r="BR103" s="599">
        <f t="shared" si="276"/>
        <v>174.189</v>
      </c>
      <c r="BS103" s="599">
        <f t="shared" si="276"/>
        <v>106.85</v>
      </c>
      <c r="BT103" s="599">
        <f t="shared" si="276"/>
        <v>425.903</v>
      </c>
      <c r="BU103" s="598">
        <f t="shared" si="276"/>
        <v>742.779</v>
      </c>
      <c r="BV103" s="599">
        <f t="shared" si="276"/>
        <v>-62.803</v>
      </c>
      <c r="BW103" s="599">
        <f t="shared" si="276"/>
        <v>112.845</v>
      </c>
      <c r="BX103" s="599">
        <f t="shared" si="276"/>
        <v>45.064</v>
      </c>
      <c r="BY103" s="599">
        <f t="shared" si="276"/>
        <v>574.21</v>
      </c>
      <c r="BZ103" s="598">
        <f t="shared" si="276"/>
        <v>669.316</v>
      </c>
      <c r="CA103" s="599">
        <f t="shared" si="276"/>
        <v>-121.243</v>
      </c>
      <c r="CB103" s="599">
        <f t="shared" ref="CB103:CI103" si="277">SUM(CB89:CB92,CB100:CB101)</f>
        <v>181.305</v>
      </c>
      <c r="CC103" s="599">
        <f t="shared" si="277"/>
        <v>25.3419999999999</v>
      </c>
      <c r="CD103" s="599">
        <f t="shared" si="277"/>
        <v>717.932</v>
      </c>
      <c r="CE103" s="598">
        <f t="shared" si="277"/>
        <v>803.336</v>
      </c>
      <c r="CF103" s="599">
        <f t="shared" si="277"/>
        <v>214.109</v>
      </c>
      <c r="CG103" s="599">
        <f t="shared" si="277"/>
        <v>285.663</v>
      </c>
      <c r="CH103" s="599">
        <f t="shared" si="277"/>
        <v>158.352</v>
      </c>
      <c r="CI103" s="599">
        <f t="shared" si="277"/>
        <v>730.984</v>
      </c>
      <c r="CJ103" s="598">
        <f t="shared" si="276"/>
        <v>1389.108</v>
      </c>
      <c r="CK103" s="599">
        <f t="shared" si="276"/>
        <v>-243.256</v>
      </c>
      <c r="CL103" s="599">
        <f t="shared" si="276"/>
        <v>97.6380000000001</v>
      </c>
      <c r="CM103" s="599">
        <f t="shared" si="276"/>
        <v>65.8169999999998</v>
      </c>
      <c r="CN103" s="599">
        <f t="shared" si="276"/>
        <v>1046.264</v>
      </c>
      <c r="CO103" s="598">
        <f t="shared" si="276"/>
        <v>966.463</v>
      </c>
      <c r="CP103" s="599">
        <f t="shared" ref="CP103:DI103" si="278">SUM(CP89:CP92,CP100:CP101)</f>
        <v>45.5029999999997</v>
      </c>
      <c r="CQ103" s="599">
        <f t="shared" si="278"/>
        <v>476.71</v>
      </c>
      <c r="CR103" s="599">
        <f t="shared" si="278"/>
        <v>389.853</v>
      </c>
      <c r="CS103" s="599">
        <f t="shared" si="278"/>
        <v>1384.098</v>
      </c>
      <c r="CT103" s="598">
        <f t="shared" si="278"/>
        <v>2296.164</v>
      </c>
      <c r="CU103" s="599">
        <f t="shared" si="278"/>
        <v>127.524</v>
      </c>
      <c r="CV103" s="599">
        <f t="shared" si="278"/>
        <v>443.14</v>
      </c>
      <c r="CW103" s="599">
        <f t="shared" ref="CW103:CX103" si="279">SUM(CW89:CW92,CW100:CW101)</f>
        <v>300.659</v>
      </c>
      <c r="CX103" s="599">
        <f t="shared" si="279"/>
        <v>1401.39</v>
      </c>
      <c r="CY103" s="598">
        <f t="shared" si="278"/>
        <v>2272.713</v>
      </c>
      <c r="CZ103" s="599">
        <f t="shared" ref="CZ103:DC103" si="280">SUM(CZ89:CZ92,CZ100:CZ101)</f>
        <v>-118.954</v>
      </c>
      <c r="DA103" s="599">
        <f t="shared" si="280"/>
        <v>328.676</v>
      </c>
      <c r="DB103" s="599">
        <f t="shared" si="280"/>
        <v>249.884</v>
      </c>
      <c r="DC103" s="599">
        <f t="shared" si="280"/>
        <v>1142.871</v>
      </c>
      <c r="DD103" s="598">
        <f t="shared" si="278"/>
        <v>1602.477</v>
      </c>
      <c r="DE103" s="599">
        <f t="shared" si="278"/>
        <v>214.44</v>
      </c>
      <c r="DF103" s="599">
        <f t="shared" si="278"/>
        <v>374.838</v>
      </c>
      <c r="DG103" s="599">
        <f t="shared" si="278"/>
        <v>-145.90099050483</v>
      </c>
      <c r="DH103" s="599">
        <f t="shared" si="278"/>
        <v>940.258857556066</v>
      </c>
      <c r="DI103" s="598">
        <f t="shared" si="278"/>
        <v>1383.63586705124</v>
      </c>
      <c r="DJ103" s="599">
        <f t="shared" ref="DJ103:DN103" si="281">SUM(DJ89:DJ92,DJ100:DJ101)</f>
        <v>418.738749034159</v>
      </c>
      <c r="DK103" s="599">
        <f t="shared" si="281"/>
        <v>327.775230529143</v>
      </c>
      <c r="DL103" s="599">
        <f t="shared" si="281"/>
        <v>-130.786639430646</v>
      </c>
      <c r="DM103" s="599">
        <f t="shared" si="281"/>
        <v>978.145673058786</v>
      </c>
      <c r="DN103" s="598">
        <f t="shared" si="281"/>
        <v>1593.87301319144</v>
      </c>
      <c r="DO103" s="599">
        <f t="shared" ref="DO103:DS103" si="282">SUM(DO89:DO92,DO100:DO101)</f>
        <v>419.72258268711</v>
      </c>
      <c r="DP103" s="599">
        <f t="shared" si="282"/>
        <v>374.315753139628</v>
      </c>
      <c r="DQ103" s="599">
        <f t="shared" si="282"/>
        <v>-115.222410408383</v>
      </c>
      <c r="DR103" s="599">
        <f t="shared" si="282"/>
        <v>996.294595379841</v>
      </c>
      <c r="DS103" s="598">
        <f t="shared" si="282"/>
        <v>1675.1105207982</v>
      </c>
    </row>
    <row r="104" spans="1:123">
      <c r="B104" s="198"/>
      <c r="C104" s="124"/>
      <c r="H104" s="124"/>
      <c r="M104" s="124"/>
      <c r="R104" s="124"/>
      <c r="W104" s="124"/>
      <c r="AB104" s="124"/>
      <c r="AG104" s="124"/>
      <c r="AL104" s="124"/>
      <c r="AQ104" s="124"/>
      <c r="AV104" s="124"/>
      <c r="BA104" s="124"/>
      <c r="BF104" s="124"/>
      <c r="BK104" s="124"/>
      <c r="BP104" s="124"/>
      <c r="BU104" s="124"/>
      <c r="BZ104" s="124"/>
      <c r="CE104" s="124"/>
      <c r="CJ104" s="124"/>
      <c r="CO104" s="210"/>
      <c r="CT104" s="210"/>
      <c r="CY104" s="210"/>
      <c r="DD104" s="210"/>
      <c r="DI104" s="210"/>
      <c r="DN104" s="210"/>
      <c r="DS104" s="210"/>
    </row>
    <row r="105" spans="1:123">
      <c r="B105" s="198" t="s">
        <v>112</v>
      </c>
      <c r="C105" s="124"/>
      <c r="H105" s="124"/>
      <c r="M105" s="124">
        <f>M148</f>
        <v>-12.532013</v>
      </c>
      <c r="R105" s="124">
        <f>R148</f>
        <v>-29.126067</v>
      </c>
      <c r="W105" s="124">
        <f>W148</f>
        <v>-40.530459</v>
      </c>
      <c r="AB105" s="124">
        <f>AB148</f>
        <v>-15.497</v>
      </c>
      <c r="AG105" s="124">
        <f t="shared" ref="AG105:AH107" si="283">AG148</f>
        <v>-30.357</v>
      </c>
      <c r="AH105" s="125">
        <f t="shared" si="283"/>
        <v>-74.831</v>
      </c>
      <c r="AI105" s="125">
        <f t="shared" ref="AI105:AJ107" si="284">AI148-AH148</f>
        <v>-12.493</v>
      </c>
      <c r="AJ105" s="125">
        <f t="shared" si="284"/>
        <v>-13.366</v>
      </c>
      <c r="AK105" s="125">
        <f>AK148-AJ148</f>
        <v>-15.967</v>
      </c>
      <c r="AL105" s="124">
        <f t="shared" ref="AL105:AM107" si="285">AL148</f>
        <v>-116.657</v>
      </c>
      <c r="AM105" s="125">
        <f t="shared" si="285"/>
        <v>-12.696</v>
      </c>
      <c r="AN105" s="125">
        <f t="shared" ref="AN105:AP107" si="286">AN148-AM148</f>
        <v>-26.35</v>
      </c>
      <c r="AO105" s="125">
        <f t="shared" si="286"/>
        <v>-32.995</v>
      </c>
      <c r="AP105" s="125">
        <f t="shared" si="286"/>
        <v>-21.188</v>
      </c>
      <c r="AQ105" s="124">
        <f t="shared" ref="AQ105:AR107" si="287">AQ148</f>
        <v>-93.229</v>
      </c>
      <c r="AR105" s="125">
        <f t="shared" si="287"/>
        <v>-20.976</v>
      </c>
      <c r="AS105" s="125">
        <f t="shared" ref="AS105:AU107" si="288">AS148-AR148</f>
        <v>-23.038</v>
      </c>
      <c r="AT105" s="125">
        <f t="shared" si="288"/>
        <v>-27.931</v>
      </c>
      <c r="AU105" s="125">
        <f t="shared" si="288"/>
        <v>-34.463</v>
      </c>
      <c r="AV105" s="124">
        <f t="shared" ref="AV105:AW107" si="289">AV148</f>
        <v>-106.408</v>
      </c>
      <c r="AW105" s="125">
        <f t="shared" si="289"/>
        <v>-25.447</v>
      </c>
      <c r="AX105" s="125">
        <f t="shared" ref="AX105:AZ107" si="290">AX148-AW148</f>
        <v>-26.655</v>
      </c>
      <c r="AY105" s="125">
        <f t="shared" si="290"/>
        <v>-37.271</v>
      </c>
      <c r="AZ105" s="125">
        <f t="shared" si="290"/>
        <v>-30.36</v>
      </c>
      <c r="BA105" s="124">
        <f t="shared" ref="BA105:BB107" si="291">BA148</f>
        <v>-119.733</v>
      </c>
      <c r="BB105" s="125">
        <f t="shared" si="291"/>
        <v>-27.936</v>
      </c>
      <c r="BC105" s="125">
        <f t="shared" ref="BC105:BE107" si="292">BC148-BB148</f>
        <v>-37.182</v>
      </c>
      <c r="BD105" s="125">
        <f t="shared" si="292"/>
        <v>-42.943</v>
      </c>
      <c r="BE105" s="125">
        <f t="shared" si="292"/>
        <v>-35.426</v>
      </c>
      <c r="BF105" s="124">
        <f t="shared" ref="BF105:BG107" si="293">BF148</f>
        <v>-143.487</v>
      </c>
      <c r="BG105" s="125">
        <f t="shared" si="293"/>
        <v>-26.644</v>
      </c>
      <c r="BH105" s="125">
        <f t="shared" ref="BH105:BJ107" si="294">BH148-BG148</f>
        <v>-44.617</v>
      </c>
      <c r="BI105" s="125">
        <f t="shared" si="294"/>
        <v>-34.907</v>
      </c>
      <c r="BJ105" s="125">
        <f t="shared" si="294"/>
        <v>-43.343</v>
      </c>
      <c r="BK105" s="124">
        <f t="shared" ref="BK105:BL107" si="295">BK148</f>
        <v>-149.511</v>
      </c>
      <c r="BL105" s="125">
        <f t="shared" si="295"/>
        <v>-19.879</v>
      </c>
      <c r="BM105" s="125">
        <f t="shared" ref="BM105:BO107" si="296">BM148-BL148</f>
        <v>-30.01</v>
      </c>
      <c r="BN105" s="125">
        <f t="shared" si="296"/>
        <v>-57.239</v>
      </c>
      <c r="BO105" s="125">
        <f t="shared" si="296"/>
        <v>-50.736</v>
      </c>
      <c r="BP105" s="124">
        <f t="shared" ref="BP105:BQ107" si="297">BP148</f>
        <v>-157.864</v>
      </c>
      <c r="BQ105" s="125">
        <f t="shared" si="297"/>
        <v>-34.314</v>
      </c>
      <c r="BR105" s="125">
        <f t="shared" ref="BR105:BS107" si="298">BR148-BQ148</f>
        <v>-49.693</v>
      </c>
      <c r="BS105" s="125">
        <f t="shared" si="298"/>
        <v>-72.739</v>
      </c>
      <c r="BT105" s="125">
        <f>BT148-BS148</f>
        <v>-69.061</v>
      </c>
      <c r="BU105" s="124">
        <f t="shared" ref="BU105:BV107" si="299">BU148</f>
        <v>-225.807</v>
      </c>
      <c r="BV105" s="125">
        <f t="shared" si="299"/>
        <v>-68.434</v>
      </c>
      <c r="BW105" s="125">
        <f t="shared" ref="BW105:BY107" si="300">BW148-BV148</f>
        <v>-67.33</v>
      </c>
      <c r="BX105" s="125">
        <f t="shared" si="300"/>
        <v>-78.453</v>
      </c>
      <c r="BY105" s="125">
        <f t="shared" si="300"/>
        <v>-68.831</v>
      </c>
      <c r="BZ105" s="124">
        <f>SUM(BV105:BY105)</f>
        <v>-283.048</v>
      </c>
      <c r="CA105" s="125">
        <f>CA148</f>
        <v>-52.101</v>
      </c>
      <c r="CB105" s="125">
        <f t="shared" ref="CB105:CC107" si="301">CB148-CA148</f>
        <v>-52.622</v>
      </c>
      <c r="CC105" s="125">
        <f t="shared" si="301"/>
        <v>-66.107</v>
      </c>
      <c r="CD105" s="125">
        <f>CD148-CC148</f>
        <v>-58.396</v>
      </c>
      <c r="CE105" s="124">
        <f>SUM(CA105:CD105)</f>
        <v>-229.226</v>
      </c>
      <c r="CF105" s="125">
        <f>CF148</f>
        <v>-64.225</v>
      </c>
      <c r="CG105" s="125">
        <f t="shared" ref="CG105:CI107" si="302">CG148-CF148</f>
        <v>-80.269</v>
      </c>
      <c r="CH105" s="125">
        <f t="shared" si="302"/>
        <v>-122.497</v>
      </c>
      <c r="CI105" s="125">
        <f t="shared" si="302"/>
        <v>-127.511</v>
      </c>
      <c r="CJ105" s="124">
        <f>SUM(CF105:CI105)</f>
        <v>-394.502</v>
      </c>
      <c r="CK105" s="172">
        <f>CK148</f>
        <v>-111.352</v>
      </c>
      <c r="CL105" s="125">
        <f t="shared" ref="CL105:CN107" si="303">CL148-CK148</f>
        <v>-144.718</v>
      </c>
      <c r="CM105" s="125">
        <f t="shared" si="303"/>
        <v>-175.607</v>
      </c>
      <c r="CN105" s="125">
        <f t="shared" si="303"/>
        <v>-206.98</v>
      </c>
      <c r="CO105" s="124">
        <f>SUM(CK105:CN105)</f>
        <v>-638.657</v>
      </c>
      <c r="CP105" s="172">
        <f>CP148</f>
        <v>-136.942</v>
      </c>
      <c r="CQ105" s="125">
        <f t="shared" ref="CQ105:CS107" si="304">CQ148-CP148</f>
        <v>-145.511</v>
      </c>
      <c r="CR105" s="125">
        <f t="shared" si="304"/>
        <v>-162.9</v>
      </c>
      <c r="CS105" s="125">
        <f t="shared" si="304"/>
        <v>-206.512</v>
      </c>
      <c r="CT105" s="124">
        <f>SUM(CP105:CS105)</f>
        <v>-651.865</v>
      </c>
      <c r="CU105" s="172">
        <f>CU148</f>
        <v>-130.681</v>
      </c>
      <c r="CV105" s="125">
        <f>CV148-CU148</f>
        <v>-145.086</v>
      </c>
      <c r="CW105" s="125">
        <f t="shared" ref="CW105:CX107" si="305">CW148-CV148</f>
        <v>-178.483</v>
      </c>
      <c r="CX105" s="125">
        <f t="shared" si="305"/>
        <v>-234.982</v>
      </c>
      <c r="CY105" s="124">
        <f>SUM(CU105:CX105)</f>
        <v>-689.232</v>
      </c>
      <c r="CZ105" s="172">
        <f>CZ148</f>
        <v>-152.263</v>
      </c>
      <c r="DA105" s="125">
        <f>DA148-CZ148</f>
        <v>-177.898</v>
      </c>
      <c r="DB105" s="125">
        <f t="shared" ref="DB105:DC107" si="306">DB148-DA148</f>
        <v>-167.441</v>
      </c>
      <c r="DC105" s="125">
        <f t="shared" si="306"/>
        <v>-183.2</v>
      </c>
      <c r="DD105" s="124">
        <f>SUM(CZ105:DC105)</f>
        <v>-680.802</v>
      </c>
      <c r="DE105" s="172">
        <f>DE148</f>
        <v>-127.38</v>
      </c>
      <c r="DF105" s="125">
        <f>DF148-DE148</f>
        <v>-149.676</v>
      </c>
      <c r="DG105" s="125">
        <f>-DG253</f>
        <v>-197.58038</v>
      </c>
      <c r="DH105" s="125">
        <f>-DH253</f>
        <v>-216.176</v>
      </c>
      <c r="DI105" s="124">
        <f>SUM(DE105:DH105)</f>
        <v>-690.81238</v>
      </c>
      <c r="DJ105" s="125">
        <f>-DJ253</f>
        <v>-142.6656</v>
      </c>
      <c r="DK105" s="125">
        <f>-DK253</f>
        <v>-167.63712</v>
      </c>
      <c r="DL105" s="125">
        <f>-DL253</f>
        <v>-221.2900256</v>
      </c>
      <c r="DM105" s="125">
        <f>-DM253</f>
        <v>-242.11712</v>
      </c>
      <c r="DN105" s="124">
        <f>SUM(DJ105:DM105)</f>
        <v>-773.7098656</v>
      </c>
      <c r="DO105" s="125">
        <f>-DO253</f>
        <v>-159.785472</v>
      </c>
      <c r="DP105" s="125">
        <f>-DP253</f>
        <v>-187.7535744</v>
      </c>
      <c r="DQ105" s="125">
        <f>-DQ253</f>
        <v>-247.844828672</v>
      </c>
      <c r="DR105" s="125">
        <f>-DR253</f>
        <v>-271.1711744</v>
      </c>
      <c r="DS105" s="124">
        <f>SUM(DO105:DR105)</f>
        <v>-866.555049472</v>
      </c>
    </row>
    <row r="106" spans="1:123">
      <c r="B106" s="198" t="s">
        <v>113</v>
      </c>
      <c r="C106" s="124"/>
      <c r="H106" s="124"/>
      <c r="M106" s="124">
        <f>M149</f>
        <v>-0.51185</v>
      </c>
      <c r="R106" s="124">
        <f>R149</f>
        <v>-5.559179</v>
      </c>
      <c r="W106" s="124">
        <f>W149</f>
        <v>-3.401633</v>
      </c>
      <c r="AB106" s="124">
        <f>AB149</f>
        <v>-0.81</v>
      </c>
      <c r="AG106" s="124">
        <f t="shared" si="283"/>
        <v>-12.482</v>
      </c>
      <c r="AH106" s="125">
        <f t="shared" si="283"/>
        <v>0</v>
      </c>
      <c r="AI106" s="125">
        <f t="shared" si="284"/>
        <v>0</v>
      </c>
      <c r="AJ106" s="125">
        <f t="shared" si="284"/>
        <v>-5.654</v>
      </c>
      <c r="AK106" s="125">
        <f>AK149-AJ149</f>
        <v>0</v>
      </c>
      <c r="AL106" s="124">
        <f t="shared" si="285"/>
        <v>-5.654</v>
      </c>
      <c r="AM106" s="125">
        <f t="shared" si="285"/>
        <v>0</v>
      </c>
      <c r="AN106" s="125">
        <f>AN149-AM149</f>
        <v>0</v>
      </c>
      <c r="AO106" s="125">
        <f>AO149-AN149</f>
        <v>0</v>
      </c>
      <c r="AP106" s="125">
        <f t="shared" si="286"/>
        <v>0</v>
      </c>
      <c r="AQ106" s="124">
        <f t="shared" si="287"/>
        <v>0</v>
      </c>
      <c r="AR106" s="125">
        <f t="shared" si="287"/>
        <v>0</v>
      </c>
      <c r="AS106" s="125">
        <f>AS149-AR149</f>
        <v>0</v>
      </c>
      <c r="AT106" s="125">
        <f>AT149-AS149</f>
        <v>0</v>
      </c>
      <c r="AU106" s="125">
        <f t="shared" si="288"/>
        <v>0</v>
      </c>
      <c r="AV106" s="124">
        <f t="shared" si="289"/>
        <v>0</v>
      </c>
      <c r="AW106" s="125">
        <f t="shared" si="289"/>
        <v>0</v>
      </c>
      <c r="AX106" s="125">
        <f>AX149-AW149</f>
        <v>0</v>
      </c>
      <c r="AY106" s="125">
        <f>AY149-AX149</f>
        <v>0</v>
      </c>
      <c r="AZ106" s="125">
        <f t="shared" si="290"/>
        <v>0</v>
      </c>
      <c r="BA106" s="124">
        <f t="shared" si="291"/>
        <v>0</v>
      </c>
      <c r="BB106" s="125">
        <f t="shared" si="291"/>
        <v>0</v>
      </c>
      <c r="BC106" s="125">
        <f>BC149-BB149</f>
        <v>0</v>
      </c>
      <c r="BD106" s="125">
        <f>BD149-BC149</f>
        <v>0</v>
      </c>
      <c r="BE106" s="125">
        <f t="shared" si="292"/>
        <v>0</v>
      </c>
      <c r="BF106" s="124">
        <f t="shared" si="293"/>
        <v>0</v>
      </c>
      <c r="BG106" s="125">
        <f t="shared" si="293"/>
        <v>0</v>
      </c>
      <c r="BH106" s="125">
        <f>BH149-BG149</f>
        <v>0</v>
      </c>
      <c r="BI106" s="125">
        <f>BI149-BH149</f>
        <v>0</v>
      </c>
      <c r="BJ106" s="125">
        <f t="shared" si="294"/>
        <v>0</v>
      </c>
      <c r="BK106" s="124">
        <f t="shared" si="295"/>
        <v>0</v>
      </c>
      <c r="BL106" s="125">
        <f t="shared" si="295"/>
        <v>0</v>
      </c>
      <c r="BM106" s="125">
        <f t="shared" si="296"/>
        <v>0</v>
      </c>
      <c r="BN106" s="125">
        <f t="shared" si="296"/>
        <v>0</v>
      </c>
      <c r="BO106" s="125">
        <f t="shared" si="296"/>
        <v>0</v>
      </c>
      <c r="BP106" s="124">
        <f t="shared" si="297"/>
        <v>0</v>
      </c>
      <c r="BQ106" s="125">
        <f t="shared" si="297"/>
        <v>0</v>
      </c>
      <c r="BR106" s="125">
        <f t="shared" si="298"/>
        <v>0</v>
      </c>
      <c r="BS106" s="125">
        <f t="shared" si="298"/>
        <v>0</v>
      </c>
      <c r="BT106" s="125">
        <f>BT149-BS149</f>
        <v>0</v>
      </c>
      <c r="BU106" s="124">
        <f t="shared" si="299"/>
        <v>0</v>
      </c>
      <c r="BV106" s="125">
        <f t="shared" si="299"/>
        <v>0</v>
      </c>
      <c r="BW106" s="125">
        <f t="shared" si="300"/>
        <v>0</v>
      </c>
      <c r="BX106" s="125">
        <f t="shared" si="300"/>
        <v>0</v>
      </c>
      <c r="BY106" s="125">
        <f t="shared" si="300"/>
        <v>0</v>
      </c>
      <c r="BZ106" s="124">
        <f>SUM(BV106:BY106)</f>
        <v>0</v>
      </c>
      <c r="CA106" s="125">
        <f>CA149</f>
        <v>0</v>
      </c>
      <c r="CB106" s="125">
        <f t="shared" si="301"/>
        <v>-452.581</v>
      </c>
      <c r="CC106" s="125">
        <f t="shared" si="301"/>
        <v>0</v>
      </c>
      <c r="CD106" s="125">
        <f>CD149-CC149</f>
        <v>0</v>
      </c>
      <c r="CE106" s="124">
        <f>SUM(CA106:CD106)</f>
        <v>-452.581</v>
      </c>
      <c r="CF106" s="125">
        <f>CF149</f>
        <v>0</v>
      </c>
      <c r="CG106" s="125">
        <f t="shared" si="302"/>
        <v>0</v>
      </c>
      <c r="CH106" s="125">
        <f t="shared" si="302"/>
        <v>0</v>
      </c>
      <c r="CI106" s="125">
        <f t="shared" si="302"/>
        <v>0</v>
      </c>
      <c r="CJ106" s="124">
        <f>SUM(CF106:CI106)</f>
        <v>0</v>
      </c>
      <c r="CK106" s="172">
        <f>CK149</f>
        <v>0</v>
      </c>
      <c r="CL106" s="125">
        <f t="shared" si="303"/>
        <v>0</v>
      </c>
      <c r="CM106" s="125">
        <f t="shared" si="303"/>
        <v>0</v>
      </c>
      <c r="CN106" s="125">
        <f t="shared" si="303"/>
        <v>0</v>
      </c>
      <c r="CO106" s="124">
        <f>SUM(CK106:CN106)</f>
        <v>0</v>
      </c>
      <c r="CP106" s="172">
        <f>CP149</f>
        <v>0</v>
      </c>
      <c r="CQ106" s="125">
        <f t="shared" si="304"/>
        <v>0</v>
      </c>
      <c r="CR106" s="125">
        <f t="shared" si="304"/>
        <v>0</v>
      </c>
      <c r="CS106" s="125">
        <f t="shared" si="304"/>
        <v>0</v>
      </c>
      <c r="CT106" s="124">
        <f>SUM(CP106:CS106)</f>
        <v>0</v>
      </c>
      <c r="CU106" s="172">
        <f>CU149</f>
        <v>0</v>
      </c>
      <c r="CV106" s="125">
        <f>CV149-CU149</f>
        <v>0</v>
      </c>
      <c r="CW106" s="125">
        <f t="shared" si="305"/>
        <v>-130.996</v>
      </c>
      <c r="CX106" s="125">
        <f t="shared" si="305"/>
        <v>-23.15</v>
      </c>
      <c r="CY106" s="124">
        <f>SUM(CU106:CX106)</f>
        <v>-154.146</v>
      </c>
      <c r="CZ106" s="172">
        <f>CZ149</f>
        <v>0</v>
      </c>
      <c r="DA106" s="125">
        <f>DA149-CZ149</f>
        <v>0</v>
      </c>
      <c r="DB106" s="125">
        <f t="shared" si="306"/>
        <v>0</v>
      </c>
      <c r="DC106" s="125">
        <f t="shared" si="306"/>
        <v>0</v>
      </c>
      <c r="DD106" s="124">
        <f>SUM(CZ106:DC106)</f>
        <v>0</v>
      </c>
      <c r="DE106" s="172">
        <f>DE149</f>
        <v>0</v>
      </c>
      <c r="DF106" s="125">
        <f>DF149-DE149</f>
        <v>0</v>
      </c>
      <c r="DG106" s="596">
        <v>0</v>
      </c>
      <c r="DH106" s="596">
        <v>0</v>
      </c>
      <c r="DI106" s="124">
        <f>SUM(DE106:DH106)</f>
        <v>0</v>
      </c>
      <c r="DJ106" s="596">
        <v>0</v>
      </c>
      <c r="DK106" s="596">
        <v>0</v>
      </c>
      <c r="DL106" s="596">
        <v>0</v>
      </c>
      <c r="DM106" s="596">
        <v>0</v>
      </c>
      <c r="DN106" s="124">
        <f>SUM(DJ106:DM106)</f>
        <v>0</v>
      </c>
      <c r="DO106" s="596">
        <v>0</v>
      </c>
      <c r="DP106" s="596">
        <v>0</v>
      </c>
      <c r="DQ106" s="596">
        <v>0</v>
      </c>
      <c r="DR106" s="596">
        <v>0</v>
      </c>
      <c r="DS106" s="124">
        <f>SUM(DO106:DR106)</f>
        <v>0</v>
      </c>
    </row>
    <row r="107" spans="1:123">
      <c r="B107" s="198" t="s">
        <v>55</v>
      </c>
      <c r="C107" s="124"/>
      <c r="H107" s="124"/>
      <c r="M107" s="124">
        <f>M150</f>
        <v>-0.305807</v>
      </c>
      <c r="R107" s="124">
        <f>R150</f>
        <v>-0.549873</v>
      </c>
      <c r="W107" s="124">
        <f>W150</f>
        <v>-2.863353</v>
      </c>
      <c r="AB107" s="124">
        <f>AB150</f>
        <v>0</v>
      </c>
      <c r="AG107" s="124">
        <f t="shared" si="283"/>
        <v>0</v>
      </c>
      <c r="AH107" s="125">
        <f t="shared" si="283"/>
        <v>0</v>
      </c>
      <c r="AI107" s="125">
        <f t="shared" si="284"/>
        <v>0</v>
      </c>
      <c r="AJ107" s="125">
        <f t="shared" si="284"/>
        <v>0</v>
      </c>
      <c r="AK107" s="125">
        <f>AK150-AJ150</f>
        <v>0</v>
      </c>
      <c r="AL107" s="124">
        <f t="shared" si="285"/>
        <v>0</v>
      </c>
      <c r="AM107" s="125">
        <f t="shared" si="285"/>
        <v>0</v>
      </c>
      <c r="AN107" s="125">
        <f>AN150-AM150</f>
        <v>0</v>
      </c>
      <c r="AO107" s="125">
        <f>AO150-AN150</f>
        <v>0</v>
      </c>
      <c r="AP107" s="125">
        <f t="shared" si="286"/>
        <v>0</v>
      </c>
      <c r="AQ107" s="124">
        <f t="shared" si="287"/>
        <v>0</v>
      </c>
      <c r="AR107" s="125">
        <f t="shared" si="287"/>
        <v>0</v>
      </c>
      <c r="AS107" s="125">
        <f>AS150-AR150</f>
        <v>0</v>
      </c>
      <c r="AT107" s="125">
        <f>AT150-AS150</f>
        <v>0</v>
      </c>
      <c r="AU107" s="125">
        <f t="shared" si="288"/>
        <v>0</v>
      </c>
      <c r="AV107" s="124">
        <f t="shared" si="289"/>
        <v>0</v>
      </c>
      <c r="AW107" s="125">
        <f t="shared" si="289"/>
        <v>0</v>
      </c>
      <c r="AX107" s="125">
        <f>AX150-AW150</f>
        <v>0</v>
      </c>
      <c r="AY107" s="125">
        <f>AY150-AX150</f>
        <v>0</v>
      </c>
      <c r="AZ107" s="125">
        <f t="shared" si="290"/>
        <v>0</v>
      </c>
      <c r="BA107" s="124">
        <f t="shared" si="291"/>
        <v>0</v>
      </c>
      <c r="BB107" s="125">
        <f t="shared" si="291"/>
        <v>0</v>
      </c>
      <c r="BC107" s="125">
        <f>BC150-BB150</f>
        <v>0</v>
      </c>
      <c r="BD107" s="125">
        <f>BD150-BC150</f>
        <v>0</v>
      </c>
      <c r="BE107" s="125">
        <f t="shared" si="292"/>
        <v>0</v>
      </c>
      <c r="BF107" s="124">
        <f t="shared" si="293"/>
        <v>0</v>
      </c>
      <c r="BG107" s="125">
        <f t="shared" si="293"/>
        <v>0</v>
      </c>
      <c r="BH107" s="125">
        <f>BH150-BG150</f>
        <v>0</v>
      </c>
      <c r="BI107" s="125">
        <f>BI150-BH150</f>
        <v>0</v>
      </c>
      <c r="BJ107" s="125">
        <f t="shared" si="294"/>
        <v>0</v>
      </c>
      <c r="BK107" s="124">
        <f t="shared" si="295"/>
        <v>0</v>
      </c>
      <c r="BL107" s="125">
        <f t="shared" si="295"/>
        <v>0</v>
      </c>
      <c r="BM107" s="125">
        <f t="shared" si="296"/>
        <v>0</v>
      </c>
      <c r="BN107" s="125">
        <f t="shared" si="296"/>
        <v>-12.923</v>
      </c>
      <c r="BO107" s="125">
        <f t="shared" si="296"/>
        <v>-2.605</v>
      </c>
      <c r="BP107" s="124">
        <f t="shared" si="297"/>
        <v>-15.528</v>
      </c>
      <c r="BQ107" s="125">
        <f t="shared" si="297"/>
        <v>0</v>
      </c>
      <c r="BR107" s="125">
        <f t="shared" si="298"/>
        <v>-5.285</v>
      </c>
      <c r="BS107" s="125">
        <f t="shared" si="298"/>
        <v>-3.883</v>
      </c>
      <c r="BT107" s="125">
        <f>BT150-BS150</f>
        <v>-7.819</v>
      </c>
      <c r="BU107" s="124">
        <f t="shared" si="299"/>
        <v>-16.987</v>
      </c>
      <c r="BV107" s="125">
        <f t="shared" si="299"/>
        <v>4.526</v>
      </c>
      <c r="BW107" s="125">
        <f t="shared" si="300"/>
        <v>-0.730999999999999</v>
      </c>
      <c r="BX107" s="125">
        <f t="shared" si="300"/>
        <v>-2.053</v>
      </c>
      <c r="BY107" s="125">
        <f t="shared" si="300"/>
        <v>2.898</v>
      </c>
      <c r="BZ107" s="124">
        <f>SUM(BV107:BY107)</f>
        <v>4.64</v>
      </c>
      <c r="CA107" s="125">
        <f>CA150</f>
        <v>6.475</v>
      </c>
      <c r="CB107" s="125">
        <f t="shared" si="301"/>
        <v>5.506</v>
      </c>
      <c r="CC107" s="125">
        <f t="shared" si="301"/>
        <v>-5.114</v>
      </c>
      <c r="CD107" s="125">
        <f>CD150-CC150</f>
        <v>-20.592</v>
      </c>
      <c r="CE107" s="124">
        <f>SUM(CA107:CD107)</f>
        <v>-13.725</v>
      </c>
      <c r="CF107" s="125">
        <f>CF150</f>
        <v>-21.239</v>
      </c>
      <c r="CG107" s="125">
        <f t="shared" si="302"/>
        <v>-35.76</v>
      </c>
      <c r="CH107" s="125">
        <f t="shared" si="302"/>
        <v>10.552</v>
      </c>
      <c r="CI107" s="125">
        <f t="shared" si="302"/>
        <v>13.058</v>
      </c>
      <c r="CJ107" s="124">
        <f>SUM(CF107:CI107)</f>
        <v>-33.389</v>
      </c>
      <c r="CK107" s="172">
        <f>CK150</f>
        <v>10.024</v>
      </c>
      <c r="CL107" s="125">
        <f t="shared" si="303"/>
        <v>21.102</v>
      </c>
      <c r="CM107" s="125">
        <f t="shared" si="303"/>
        <v>13.689</v>
      </c>
      <c r="CN107" s="125">
        <f t="shared" si="303"/>
        <v>23.905</v>
      </c>
      <c r="CO107" s="124">
        <f>SUM(CK107:CN107)</f>
        <v>68.72</v>
      </c>
      <c r="CP107" s="172">
        <f>CP150</f>
        <v>-1.277</v>
      </c>
      <c r="CQ107" s="125">
        <f t="shared" si="304"/>
        <v>0.0699999999999998</v>
      </c>
      <c r="CR107" s="125">
        <f t="shared" si="304"/>
        <v>1.235</v>
      </c>
      <c r="CS107" s="125">
        <f t="shared" si="304"/>
        <v>-2.295</v>
      </c>
      <c r="CT107" s="124">
        <f>SUM(CP107:CS107)</f>
        <v>-2.267</v>
      </c>
      <c r="CU107" s="172">
        <f>CU150</f>
        <v>-0.856</v>
      </c>
      <c r="CV107" s="125">
        <f>CV150-CU150</f>
        <v>9.998</v>
      </c>
      <c r="CW107" s="125">
        <f t="shared" si="305"/>
        <v>0.890000000000001</v>
      </c>
      <c r="CX107" s="125">
        <f t="shared" si="305"/>
        <v>35.172</v>
      </c>
      <c r="CY107" s="124">
        <f>SUM(CU107:CX107)</f>
        <v>45.204</v>
      </c>
      <c r="CZ107" s="172">
        <f>CZ150</f>
        <v>45.421</v>
      </c>
      <c r="DA107" s="125">
        <f>DA150-CZ150</f>
        <v>-35.22</v>
      </c>
      <c r="DB107" s="125">
        <f t="shared" si="306"/>
        <v>-1.656</v>
      </c>
      <c r="DC107" s="125">
        <f t="shared" si="306"/>
        <v>10.139</v>
      </c>
      <c r="DD107" s="124">
        <f>SUM(CZ107:DC107)</f>
        <v>18.684</v>
      </c>
      <c r="DE107" s="172">
        <f>DE150</f>
        <v>-11.47</v>
      </c>
      <c r="DF107" s="125">
        <f>DF150-DE150</f>
        <v>6.724</v>
      </c>
      <c r="DG107" s="596">
        <v>0</v>
      </c>
      <c r="DH107" s="596">
        <v>0</v>
      </c>
      <c r="DI107" s="124">
        <f>SUM(DE107:DH107)</f>
        <v>-4.746</v>
      </c>
      <c r="DJ107" s="596">
        <v>0</v>
      </c>
      <c r="DK107" s="596">
        <v>0</v>
      </c>
      <c r="DL107" s="596">
        <v>0</v>
      </c>
      <c r="DM107" s="596">
        <v>0</v>
      </c>
      <c r="DN107" s="124">
        <f>SUM(DJ107:DM107)</f>
        <v>0</v>
      </c>
      <c r="DO107" s="596">
        <v>0</v>
      </c>
      <c r="DP107" s="596">
        <v>0</v>
      </c>
      <c r="DQ107" s="596">
        <v>0</v>
      </c>
      <c r="DR107" s="596">
        <v>0</v>
      </c>
      <c r="DS107" s="124">
        <f>SUM(DO107:DR107)</f>
        <v>0</v>
      </c>
    </row>
    <row r="108" spans="1:123">
      <c r="B108" s="198"/>
      <c r="C108" s="124"/>
      <c r="H108" s="124"/>
      <c r="M108" s="124"/>
      <c r="R108" s="124"/>
      <c r="W108" s="124"/>
      <c r="AB108" s="124"/>
      <c r="AG108" s="124"/>
      <c r="AL108" s="124"/>
      <c r="AQ108" s="124"/>
      <c r="AV108" s="124"/>
      <c r="BA108" s="124"/>
      <c r="BF108" s="124"/>
      <c r="BK108" s="124"/>
      <c r="BP108" s="124"/>
      <c r="BU108" s="124"/>
      <c r="BZ108" s="124"/>
      <c r="CE108" s="124"/>
      <c r="CJ108" s="124"/>
      <c r="CO108" s="124"/>
      <c r="CT108" s="124"/>
      <c r="CY108" s="124"/>
      <c r="DD108" s="124"/>
      <c r="DI108" s="124"/>
      <c r="DN108" s="124"/>
      <c r="DS108" s="124"/>
    </row>
    <row r="109" s="3" customFormat="1" spans="1:123">
      <c r="A109" s="132"/>
      <c r="B109" s="597" t="s">
        <v>114</v>
      </c>
      <c r="C109" s="598"/>
      <c r="D109" s="599"/>
      <c r="E109" s="599"/>
      <c r="F109" s="599"/>
      <c r="G109" s="599"/>
      <c r="H109" s="598"/>
      <c r="I109" s="599"/>
      <c r="J109" s="599"/>
      <c r="K109" s="599"/>
      <c r="L109" s="599"/>
      <c r="M109" s="598">
        <f>SUM(M105:M107)</f>
        <v>-13.34967</v>
      </c>
      <c r="N109" s="599"/>
      <c r="O109" s="599"/>
      <c r="P109" s="599"/>
      <c r="Q109" s="599"/>
      <c r="R109" s="598">
        <f>SUM(R105:R107)</f>
        <v>-35.235119</v>
      </c>
      <c r="S109" s="599"/>
      <c r="T109" s="599"/>
      <c r="U109" s="599"/>
      <c r="V109" s="599"/>
      <c r="W109" s="598">
        <f>SUM(W105:W107)</f>
        <v>-46.795445</v>
      </c>
      <c r="X109" s="599"/>
      <c r="Y109" s="599"/>
      <c r="Z109" s="599"/>
      <c r="AA109" s="599"/>
      <c r="AB109" s="598">
        <f>SUM(AB105:AB107)</f>
        <v>-16.307</v>
      </c>
      <c r="AC109" s="599"/>
      <c r="AD109" s="599"/>
      <c r="AE109" s="599"/>
      <c r="AF109" s="599"/>
      <c r="AG109" s="598">
        <f t="shared" ref="AG109:BL109" si="307">SUM(AG105:AG107)</f>
        <v>-42.839</v>
      </c>
      <c r="AH109" s="599">
        <f t="shared" si="307"/>
        <v>-74.831</v>
      </c>
      <c r="AI109" s="599">
        <f t="shared" si="307"/>
        <v>-12.493</v>
      </c>
      <c r="AJ109" s="599">
        <f t="shared" si="307"/>
        <v>-19.02</v>
      </c>
      <c r="AK109" s="599">
        <f t="shared" si="307"/>
        <v>-15.967</v>
      </c>
      <c r="AL109" s="598">
        <f t="shared" si="307"/>
        <v>-122.311</v>
      </c>
      <c r="AM109" s="599">
        <f t="shared" si="307"/>
        <v>-12.696</v>
      </c>
      <c r="AN109" s="599">
        <f t="shared" si="307"/>
        <v>-26.35</v>
      </c>
      <c r="AO109" s="599">
        <f t="shared" si="307"/>
        <v>-32.995</v>
      </c>
      <c r="AP109" s="599">
        <f t="shared" si="307"/>
        <v>-21.188</v>
      </c>
      <c r="AQ109" s="598">
        <f t="shared" si="307"/>
        <v>-93.229</v>
      </c>
      <c r="AR109" s="599">
        <f t="shared" si="307"/>
        <v>-20.976</v>
      </c>
      <c r="AS109" s="599">
        <f t="shared" si="307"/>
        <v>-23.038</v>
      </c>
      <c r="AT109" s="599">
        <f t="shared" si="307"/>
        <v>-27.931</v>
      </c>
      <c r="AU109" s="599">
        <f t="shared" si="307"/>
        <v>-34.463</v>
      </c>
      <c r="AV109" s="598">
        <f t="shared" si="307"/>
        <v>-106.408</v>
      </c>
      <c r="AW109" s="599">
        <f t="shared" si="307"/>
        <v>-25.447</v>
      </c>
      <c r="AX109" s="599">
        <f t="shared" si="307"/>
        <v>-26.655</v>
      </c>
      <c r="AY109" s="599">
        <f t="shared" si="307"/>
        <v>-37.271</v>
      </c>
      <c r="AZ109" s="599">
        <f t="shared" si="307"/>
        <v>-30.36</v>
      </c>
      <c r="BA109" s="598">
        <f t="shared" si="307"/>
        <v>-119.733</v>
      </c>
      <c r="BB109" s="599">
        <f t="shared" si="307"/>
        <v>-27.936</v>
      </c>
      <c r="BC109" s="599">
        <f t="shared" si="307"/>
        <v>-37.182</v>
      </c>
      <c r="BD109" s="599">
        <f t="shared" si="307"/>
        <v>-42.943</v>
      </c>
      <c r="BE109" s="599">
        <f t="shared" si="307"/>
        <v>-35.426</v>
      </c>
      <c r="BF109" s="598">
        <f t="shared" si="307"/>
        <v>-143.487</v>
      </c>
      <c r="BG109" s="600">
        <f t="shared" si="307"/>
        <v>-26.644</v>
      </c>
      <c r="BH109" s="599">
        <f t="shared" si="307"/>
        <v>-44.617</v>
      </c>
      <c r="BI109" s="599">
        <f t="shared" si="307"/>
        <v>-34.907</v>
      </c>
      <c r="BJ109" s="599">
        <f t="shared" si="307"/>
        <v>-43.343</v>
      </c>
      <c r="BK109" s="598">
        <f t="shared" si="307"/>
        <v>-149.511</v>
      </c>
      <c r="BL109" s="599">
        <f t="shared" si="307"/>
        <v>-19.879</v>
      </c>
      <c r="BM109" s="599">
        <f t="shared" ref="BM109:CO109" si="308">SUM(BM105:BM107)</f>
        <v>-30.01</v>
      </c>
      <c r="BN109" s="599">
        <f t="shared" si="308"/>
        <v>-70.162</v>
      </c>
      <c r="BO109" s="599">
        <f t="shared" si="308"/>
        <v>-53.341</v>
      </c>
      <c r="BP109" s="598">
        <f t="shared" si="308"/>
        <v>-173.392</v>
      </c>
      <c r="BQ109" s="599">
        <f t="shared" si="308"/>
        <v>-34.314</v>
      </c>
      <c r="BR109" s="599">
        <f t="shared" si="308"/>
        <v>-54.978</v>
      </c>
      <c r="BS109" s="599">
        <f t="shared" si="308"/>
        <v>-76.622</v>
      </c>
      <c r="BT109" s="599">
        <f t="shared" si="308"/>
        <v>-76.88</v>
      </c>
      <c r="BU109" s="598">
        <f t="shared" si="308"/>
        <v>-242.794</v>
      </c>
      <c r="BV109" s="599">
        <f t="shared" si="308"/>
        <v>-63.908</v>
      </c>
      <c r="BW109" s="599">
        <f t="shared" si="308"/>
        <v>-68.061</v>
      </c>
      <c r="BX109" s="599">
        <f t="shared" si="308"/>
        <v>-80.506</v>
      </c>
      <c r="BY109" s="599">
        <f t="shared" si="308"/>
        <v>-65.933</v>
      </c>
      <c r="BZ109" s="598">
        <f t="shared" si="308"/>
        <v>-278.408</v>
      </c>
      <c r="CA109" s="599">
        <f t="shared" si="308"/>
        <v>-45.626</v>
      </c>
      <c r="CB109" s="599">
        <f t="shared" ref="CB109:CI109" si="309">SUM(CB105:CB107)</f>
        <v>-499.697</v>
      </c>
      <c r="CC109" s="599">
        <f t="shared" si="309"/>
        <v>-71.221</v>
      </c>
      <c r="CD109" s="599">
        <f t="shared" si="309"/>
        <v>-78.988</v>
      </c>
      <c r="CE109" s="598">
        <f t="shared" si="309"/>
        <v>-695.532</v>
      </c>
      <c r="CF109" s="599">
        <f t="shared" si="309"/>
        <v>-85.464</v>
      </c>
      <c r="CG109" s="599">
        <f t="shared" si="309"/>
        <v>-116.029</v>
      </c>
      <c r="CH109" s="599">
        <f t="shared" si="309"/>
        <v>-111.945</v>
      </c>
      <c r="CI109" s="599">
        <f t="shared" si="309"/>
        <v>-114.453</v>
      </c>
      <c r="CJ109" s="598">
        <f t="shared" si="308"/>
        <v>-427.891</v>
      </c>
      <c r="CK109" s="599">
        <f t="shared" si="308"/>
        <v>-101.328</v>
      </c>
      <c r="CL109" s="599">
        <f t="shared" si="308"/>
        <v>-123.616</v>
      </c>
      <c r="CM109" s="599">
        <f t="shared" si="308"/>
        <v>-161.918</v>
      </c>
      <c r="CN109" s="599">
        <f t="shared" si="308"/>
        <v>-183.075</v>
      </c>
      <c r="CO109" s="598">
        <f t="shared" si="308"/>
        <v>-569.937</v>
      </c>
      <c r="CP109" s="599">
        <f t="shared" ref="CP109:DI109" si="310">SUM(CP105:CP107)</f>
        <v>-138.219</v>
      </c>
      <c r="CQ109" s="599">
        <f t="shared" si="310"/>
        <v>-145.441</v>
      </c>
      <c r="CR109" s="599">
        <f t="shared" si="310"/>
        <v>-161.665</v>
      </c>
      <c r="CS109" s="599">
        <f t="shared" si="310"/>
        <v>-208.807</v>
      </c>
      <c r="CT109" s="598">
        <f t="shared" si="310"/>
        <v>-654.132</v>
      </c>
      <c r="CU109" s="599">
        <f t="shared" si="310"/>
        <v>-131.537</v>
      </c>
      <c r="CV109" s="599">
        <f t="shared" si="310"/>
        <v>-135.088</v>
      </c>
      <c r="CW109" s="599">
        <f t="shared" ref="CW109:CX109" si="311">SUM(CW105:CW107)</f>
        <v>-308.589</v>
      </c>
      <c r="CX109" s="599">
        <f t="shared" si="311"/>
        <v>-222.96</v>
      </c>
      <c r="CY109" s="598">
        <f t="shared" si="310"/>
        <v>-798.174</v>
      </c>
      <c r="CZ109" s="599">
        <f t="shared" ref="CZ109:DC109" si="312">SUM(CZ105:CZ107)</f>
        <v>-106.842</v>
      </c>
      <c r="DA109" s="599">
        <f t="shared" si="312"/>
        <v>-213.118</v>
      </c>
      <c r="DB109" s="599">
        <f t="shared" si="312"/>
        <v>-169.097</v>
      </c>
      <c r="DC109" s="599">
        <f t="shared" si="312"/>
        <v>-173.061</v>
      </c>
      <c r="DD109" s="598">
        <f t="shared" si="310"/>
        <v>-662.118</v>
      </c>
      <c r="DE109" s="599">
        <f t="shared" si="310"/>
        <v>-138.85</v>
      </c>
      <c r="DF109" s="599">
        <f t="shared" si="310"/>
        <v>-142.952</v>
      </c>
      <c r="DG109" s="599">
        <f t="shared" si="310"/>
        <v>-197.58038</v>
      </c>
      <c r="DH109" s="599">
        <f t="shared" si="310"/>
        <v>-216.176</v>
      </c>
      <c r="DI109" s="598">
        <f t="shared" si="310"/>
        <v>-695.55838</v>
      </c>
      <c r="DJ109" s="599">
        <f t="shared" ref="DJ109:DN109" si="313">SUM(DJ105:DJ107)</f>
        <v>-142.6656</v>
      </c>
      <c r="DK109" s="599">
        <f t="shared" si="313"/>
        <v>-167.63712</v>
      </c>
      <c r="DL109" s="599">
        <f t="shared" si="313"/>
        <v>-221.2900256</v>
      </c>
      <c r="DM109" s="599">
        <f t="shared" si="313"/>
        <v>-242.11712</v>
      </c>
      <c r="DN109" s="598">
        <f t="shared" si="313"/>
        <v>-773.7098656</v>
      </c>
      <c r="DO109" s="599">
        <f t="shared" ref="DO109:DS109" si="314">SUM(DO105:DO107)</f>
        <v>-159.785472</v>
      </c>
      <c r="DP109" s="599">
        <f t="shared" si="314"/>
        <v>-187.7535744</v>
      </c>
      <c r="DQ109" s="599">
        <f t="shared" si="314"/>
        <v>-247.844828672</v>
      </c>
      <c r="DR109" s="599">
        <f t="shared" si="314"/>
        <v>-271.1711744</v>
      </c>
      <c r="DS109" s="598">
        <f t="shared" si="314"/>
        <v>-866.555049472</v>
      </c>
    </row>
    <row r="110" spans="1:123">
      <c r="B110" s="198"/>
      <c r="C110" s="124"/>
      <c r="H110" s="124"/>
      <c r="M110" s="124"/>
      <c r="R110" s="124"/>
      <c r="W110" s="124"/>
      <c r="AB110" s="124"/>
      <c r="AG110" s="124"/>
      <c r="AL110" s="124"/>
      <c r="AQ110" s="124"/>
      <c r="AV110" s="124"/>
      <c r="BA110" s="124"/>
      <c r="BF110" s="124"/>
      <c r="BK110" s="124"/>
      <c r="BP110" s="124"/>
      <c r="BU110" s="124"/>
      <c r="BZ110" s="124"/>
      <c r="CE110" s="124"/>
      <c r="CJ110" s="124"/>
      <c r="CO110" s="124"/>
      <c r="CT110" s="124"/>
      <c r="CY110" s="124"/>
      <c r="DD110" s="124"/>
      <c r="DI110" s="124"/>
      <c r="DN110" s="124"/>
      <c r="DS110" s="124"/>
    </row>
    <row r="111" spans="1:123">
      <c r="B111" s="198" t="s">
        <v>115</v>
      </c>
      <c r="C111" s="124"/>
      <c r="H111" s="124"/>
      <c r="M111" s="124">
        <f t="shared" ref="M111:M123" si="315">M156</f>
        <v>0</v>
      </c>
      <c r="R111" s="124">
        <f t="shared" ref="R111:R118" si="316">R156</f>
        <v>0</v>
      </c>
      <c r="W111" s="124">
        <f t="shared" ref="W111:W118" si="317">W156</f>
        <v>0</v>
      </c>
      <c r="AB111" s="124">
        <f t="shared" ref="AB111:AB118" si="318">AB156</f>
        <v>0</v>
      </c>
      <c r="AG111" s="124">
        <f t="shared" ref="AG111:AH115" si="319">AG156</f>
        <v>0</v>
      </c>
      <c r="AH111" s="125">
        <f t="shared" si="319"/>
        <v>0</v>
      </c>
      <c r="AI111" s="125">
        <f t="shared" ref="AI111:AJ115" si="320">AI156-AH156</f>
        <v>0</v>
      </c>
      <c r="AJ111" s="125">
        <f t="shared" si="320"/>
        <v>0</v>
      </c>
      <c r="AK111" s="125">
        <f>AK156-AJ156</f>
        <v>0</v>
      </c>
      <c r="AL111" s="124">
        <f t="shared" ref="AL111:AM118" si="321">AL156</f>
        <v>0</v>
      </c>
      <c r="AM111" s="125">
        <f t="shared" si="321"/>
        <v>0</v>
      </c>
      <c r="AN111" s="125">
        <f t="shared" ref="AN111:AP115" si="322">AN156-AM156</f>
        <v>0</v>
      </c>
      <c r="AO111" s="125">
        <f t="shared" si="322"/>
        <v>0</v>
      </c>
      <c r="AP111" s="125">
        <f t="shared" si="322"/>
        <v>0</v>
      </c>
      <c r="AQ111" s="124">
        <f t="shared" ref="AQ111:AR118" si="323">AQ156</f>
        <v>0</v>
      </c>
      <c r="AR111" s="125">
        <f t="shared" si="323"/>
        <v>0</v>
      </c>
      <c r="AS111" s="125">
        <f t="shared" ref="AS111:AU115" si="324">AS156-AR156</f>
        <v>0</v>
      </c>
      <c r="AT111" s="125">
        <f t="shared" si="324"/>
        <v>0</v>
      </c>
      <c r="AU111" s="125">
        <f t="shared" si="324"/>
        <v>0</v>
      </c>
      <c r="AV111" s="124">
        <f t="shared" ref="AV111:AW118" si="325">AV156</f>
        <v>0</v>
      </c>
      <c r="AW111" s="125">
        <f t="shared" si="325"/>
        <v>0</v>
      </c>
      <c r="AX111" s="125">
        <f t="shared" ref="AX111:AZ114" si="326">AX156-AW156</f>
        <v>0</v>
      </c>
      <c r="AY111" s="125">
        <f t="shared" si="326"/>
        <v>0</v>
      </c>
      <c r="AZ111" s="125">
        <f t="shared" si="326"/>
        <v>0</v>
      </c>
      <c r="BA111" s="124">
        <f t="shared" ref="BA111:BB118" si="327">BA156</f>
        <v>0</v>
      </c>
      <c r="BB111" s="125">
        <f t="shared" si="327"/>
        <v>0</v>
      </c>
      <c r="BC111" s="125">
        <f t="shared" ref="BC111:BE115" si="328">BC156-BB156</f>
        <v>0</v>
      </c>
      <c r="BD111" s="125">
        <f t="shared" si="328"/>
        <v>0</v>
      </c>
      <c r="BE111" s="125">
        <f t="shared" si="328"/>
        <v>0</v>
      </c>
      <c r="BF111" s="124">
        <f t="shared" ref="BF111:BG118" si="329">BF156</f>
        <v>0</v>
      </c>
      <c r="BG111" s="125">
        <f t="shared" si="329"/>
        <v>0</v>
      </c>
      <c r="BH111" s="125">
        <f t="shared" ref="BH111:BJ115" si="330">BH156-BG156</f>
        <v>0</v>
      </c>
      <c r="BI111" s="125">
        <f t="shared" si="330"/>
        <v>0</v>
      </c>
      <c r="BJ111" s="125">
        <f t="shared" si="330"/>
        <v>0</v>
      </c>
      <c r="BK111" s="124">
        <f t="shared" ref="BK111:BL118" si="331">BK156</f>
        <v>0</v>
      </c>
      <c r="BL111" s="125">
        <f t="shared" si="331"/>
        <v>0</v>
      </c>
      <c r="BM111" s="125">
        <f t="shared" ref="BM111:BO115" si="332">BM156-BL156</f>
        <v>0</v>
      </c>
      <c r="BN111" s="125">
        <f t="shared" si="332"/>
        <v>0</v>
      </c>
      <c r="BO111" s="125">
        <f t="shared" si="332"/>
        <v>0</v>
      </c>
      <c r="BP111" s="124">
        <f>BP156</f>
        <v>0</v>
      </c>
      <c r="BQ111" s="125">
        <f>BQ156</f>
        <v>0</v>
      </c>
      <c r="BR111" s="125">
        <f t="shared" ref="BR111:BS115" si="333">BR156-BQ156</f>
        <v>100</v>
      </c>
      <c r="BS111" s="125">
        <f t="shared" si="333"/>
        <v>-100</v>
      </c>
      <c r="BT111" s="125">
        <f>BT156-BS156</f>
        <v>0</v>
      </c>
      <c r="BU111" s="124">
        <f t="shared" ref="BU111:BV115" si="334">BU156</f>
        <v>0</v>
      </c>
      <c r="BV111" s="125">
        <f t="shared" si="334"/>
        <v>0</v>
      </c>
      <c r="BW111" s="125">
        <f t="shared" ref="BW111:BY115" si="335">BW156-BV156</f>
        <v>0</v>
      </c>
      <c r="BX111" s="125">
        <f t="shared" si="335"/>
        <v>0</v>
      </c>
      <c r="BY111" s="125">
        <f t="shared" si="335"/>
        <v>0</v>
      </c>
      <c r="BZ111" s="124">
        <f>SUM(BV111:BY111)</f>
        <v>0</v>
      </c>
      <c r="CA111" s="125">
        <f>CA156</f>
        <v>0</v>
      </c>
      <c r="CB111" s="125">
        <f t="shared" ref="CB111:CC115" si="336">CB156-CA156</f>
        <v>0</v>
      </c>
      <c r="CC111" s="125">
        <f t="shared" si="336"/>
        <v>0</v>
      </c>
      <c r="CD111" s="125">
        <f>CD156-CC156</f>
        <v>0</v>
      </c>
      <c r="CE111" s="124">
        <f>SUM(CA111:CD111)</f>
        <v>0</v>
      </c>
      <c r="CF111" s="125">
        <f>CF156</f>
        <v>0</v>
      </c>
      <c r="CG111" s="125">
        <f t="shared" ref="CG111:CI115" si="337">CG156-CF156</f>
        <v>0</v>
      </c>
      <c r="CH111" s="125">
        <f t="shared" si="337"/>
        <v>0</v>
      </c>
      <c r="CI111" s="125">
        <f t="shared" si="337"/>
        <v>0</v>
      </c>
      <c r="CJ111" s="124">
        <f>SUM(CF111:CI111)</f>
        <v>0</v>
      </c>
      <c r="CK111" s="172">
        <f>CK156</f>
        <v>0</v>
      </c>
      <c r="CL111" s="125">
        <f t="shared" ref="CL111:CN115" si="338">CL156-CK156</f>
        <v>0</v>
      </c>
      <c r="CM111" s="125">
        <f t="shared" si="338"/>
        <v>0</v>
      </c>
      <c r="CN111" s="125">
        <f t="shared" si="338"/>
        <v>0</v>
      </c>
      <c r="CO111" s="124">
        <f>SUM(CK111:CN111)</f>
        <v>0</v>
      </c>
      <c r="CP111" s="172">
        <f>CP156</f>
        <v>0</v>
      </c>
      <c r="CQ111" s="125">
        <f t="shared" ref="CQ111:CS115" si="339">CQ156-CP156</f>
        <v>0</v>
      </c>
      <c r="CR111" s="125">
        <f t="shared" si="339"/>
        <v>0</v>
      </c>
      <c r="CS111" s="125">
        <f t="shared" si="339"/>
        <v>0</v>
      </c>
      <c r="CT111" s="124">
        <f>SUM(CP111:CS111)</f>
        <v>0</v>
      </c>
      <c r="CU111" s="172">
        <f>CU156</f>
        <v>0</v>
      </c>
      <c r="CV111" s="125">
        <f>CV156-CU156</f>
        <v>0</v>
      </c>
      <c r="CW111" s="125">
        <f t="shared" ref="CW111:CX115" si="340">CW156-CV156</f>
        <v>0</v>
      </c>
      <c r="CX111" s="125">
        <f t="shared" si="340"/>
        <v>0</v>
      </c>
      <c r="CY111" s="124">
        <f>SUM(CU111:CX111)</f>
        <v>0</v>
      </c>
      <c r="CZ111" s="172">
        <f>CZ156</f>
        <v>0</v>
      </c>
      <c r="DA111" s="125">
        <f>DA156-CZ156</f>
        <v>0</v>
      </c>
      <c r="DB111" s="125">
        <f t="shared" ref="DB111:DC115" si="341">DB156-DA156</f>
        <v>0</v>
      </c>
      <c r="DC111" s="125">
        <f t="shared" si="341"/>
        <v>0</v>
      </c>
      <c r="DD111" s="124">
        <f>SUM(CZ111:DC111)</f>
        <v>0</v>
      </c>
      <c r="DE111" s="172">
        <f>DE156</f>
        <v>0</v>
      </c>
      <c r="DF111" s="125">
        <f>DF156-DE156</f>
        <v>0</v>
      </c>
      <c r="DG111" s="596">
        <v>0</v>
      </c>
      <c r="DH111" s="596">
        <v>0</v>
      </c>
      <c r="DI111" s="124">
        <f>SUM(DE111:DH111)</f>
        <v>0</v>
      </c>
      <c r="DJ111" s="596">
        <v>0</v>
      </c>
      <c r="DK111" s="596">
        <v>0</v>
      </c>
      <c r="DL111" s="596">
        <v>0</v>
      </c>
      <c r="DM111" s="596">
        <v>0</v>
      </c>
      <c r="DN111" s="124">
        <f>SUM(DJ111:DM111)</f>
        <v>0</v>
      </c>
      <c r="DO111" s="596">
        <v>0</v>
      </c>
      <c r="DP111" s="596">
        <v>0</v>
      </c>
      <c r="DQ111" s="596">
        <v>0</v>
      </c>
      <c r="DR111" s="596">
        <v>0</v>
      </c>
      <c r="DS111" s="124">
        <f>SUM(DO111:DR111)</f>
        <v>0</v>
      </c>
    </row>
    <row r="112" spans="1:123">
      <c r="B112" s="198" t="s">
        <v>116</v>
      </c>
      <c r="C112" s="124"/>
      <c r="H112" s="124"/>
      <c r="M112" s="124">
        <f t="shared" si="315"/>
        <v>0</v>
      </c>
      <c r="R112" s="124">
        <f t="shared" si="316"/>
        <v>0</v>
      </c>
      <c r="W112" s="124">
        <f t="shared" si="317"/>
        <v>0</v>
      </c>
      <c r="AB112" s="124">
        <f t="shared" si="318"/>
        <v>0</v>
      </c>
      <c r="AG112" s="124">
        <f t="shared" si="319"/>
        <v>0</v>
      </c>
      <c r="AH112" s="125">
        <f t="shared" si="319"/>
        <v>0</v>
      </c>
      <c r="AI112" s="125">
        <f t="shared" si="320"/>
        <v>0</v>
      </c>
      <c r="AJ112" s="125">
        <f t="shared" si="320"/>
        <v>0</v>
      </c>
      <c r="AK112" s="125">
        <f>AK157-AJ157</f>
        <v>0</v>
      </c>
      <c r="AL112" s="124">
        <f t="shared" si="321"/>
        <v>0</v>
      </c>
      <c r="AM112" s="125">
        <f t="shared" si="321"/>
        <v>0</v>
      </c>
      <c r="AN112" s="125">
        <f t="shared" ref="AN112:AO115" si="342">AN157-AM157</f>
        <v>0</v>
      </c>
      <c r="AO112" s="125">
        <f t="shared" si="342"/>
        <v>0</v>
      </c>
      <c r="AP112" s="125">
        <f t="shared" si="322"/>
        <v>0</v>
      </c>
      <c r="AQ112" s="124">
        <f t="shared" si="323"/>
        <v>0</v>
      </c>
      <c r="AR112" s="125">
        <f t="shared" si="323"/>
        <v>0</v>
      </c>
      <c r="AS112" s="125">
        <f t="shared" ref="AS112:AT115" si="343">AS157-AR157</f>
        <v>0</v>
      </c>
      <c r="AT112" s="125">
        <f t="shared" si="343"/>
        <v>0</v>
      </c>
      <c r="AU112" s="125">
        <f t="shared" si="324"/>
        <v>0</v>
      </c>
      <c r="AV112" s="124">
        <f t="shared" si="325"/>
        <v>0</v>
      </c>
      <c r="AW112" s="125">
        <f t="shared" si="325"/>
        <v>0</v>
      </c>
      <c r="AX112" s="125">
        <f t="shared" ref="AX112:AY115" si="344">AX157-AW157</f>
        <v>-55.804</v>
      </c>
      <c r="AY112" s="125">
        <f t="shared" si="344"/>
        <v>-74.462</v>
      </c>
      <c r="AZ112" s="125">
        <f t="shared" si="326"/>
        <v>-17.165</v>
      </c>
      <c r="BA112" s="124">
        <f t="shared" si="327"/>
        <v>-147.431</v>
      </c>
      <c r="BB112" s="125">
        <f t="shared" si="327"/>
        <v>-18.815</v>
      </c>
      <c r="BC112" s="125">
        <f t="shared" ref="BC112:BD115" si="345">BC157-BB157</f>
        <v>-63.183</v>
      </c>
      <c r="BD112" s="125">
        <f t="shared" si="345"/>
        <v>-87.976</v>
      </c>
      <c r="BE112" s="125">
        <f t="shared" si="328"/>
        <v>-104.219</v>
      </c>
      <c r="BF112" s="124">
        <f t="shared" si="329"/>
        <v>-274.193</v>
      </c>
      <c r="BG112" s="125">
        <f t="shared" si="329"/>
        <v>-15.765</v>
      </c>
      <c r="BH112" s="125">
        <f t="shared" ref="BH112:BI115" si="346">BH157-BG157</f>
        <v>-12.791</v>
      </c>
      <c r="BI112" s="125">
        <f t="shared" si="346"/>
        <v>0</v>
      </c>
      <c r="BJ112" s="125">
        <f t="shared" si="330"/>
        <v>-0.771000000000001</v>
      </c>
      <c r="BK112" s="124">
        <f t="shared" si="331"/>
        <v>-29.327</v>
      </c>
      <c r="BL112" s="125">
        <f t="shared" si="331"/>
        <v>-12.804</v>
      </c>
      <c r="BM112" s="125">
        <f t="shared" si="332"/>
        <v>-77.997</v>
      </c>
      <c r="BN112" s="125">
        <f t="shared" si="332"/>
        <v>-8.468</v>
      </c>
      <c r="BO112" s="125">
        <f t="shared" si="332"/>
        <v>-0.99199999999999</v>
      </c>
      <c r="BP112" s="124">
        <f>BP157</f>
        <v>-100.261</v>
      </c>
      <c r="BQ112" s="172">
        <v>-0.008</v>
      </c>
      <c r="BR112" s="125">
        <f t="shared" si="333"/>
        <v>-406.238</v>
      </c>
      <c r="BS112" s="125">
        <f t="shared" si="333"/>
        <v>-8.089</v>
      </c>
      <c r="BT112" s="125">
        <f>BT157-BS157</f>
        <v>-184.005</v>
      </c>
      <c r="BU112" s="124">
        <f t="shared" si="334"/>
        <v>-598.34</v>
      </c>
      <c r="BV112" s="125">
        <f t="shared" si="334"/>
        <v>-163.53</v>
      </c>
      <c r="BW112" s="125">
        <f t="shared" si="335"/>
        <v>-1.56899999999999</v>
      </c>
      <c r="BX112" s="125">
        <f t="shared" si="335"/>
        <v>-7.99300000000002</v>
      </c>
      <c r="BY112" s="125">
        <f t="shared" si="335"/>
        <v>-0.306999999999988</v>
      </c>
      <c r="BZ112" s="124">
        <f>SUM(BV112:BY112)</f>
        <v>-173.399</v>
      </c>
      <c r="CA112" s="125">
        <f>CA157</f>
        <v>-63.663</v>
      </c>
      <c r="CB112" s="125">
        <f t="shared" si="336"/>
        <v>0</v>
      </c>
      <c r="CC112" s="125">
        <f t="shared" si="336"/>
        <v>0</v>
      </c>
      <c r="CD112" s="125">
        <f>CD157-CC157</f>
        <v>0</v>
      </c>
      <c r="CE112" s="124">
        <f>SUM(CA112:CD112)</f>
        <v>-63.663</v>
      </c>
      <c r="CF112" s="125">
        <f>CF157</f>
        <v>-83.831</v>
      </c>
      <c r="CG112" s="125">
        <f t="shared" si="337"/>
        <v>-171.082</v>
      </c>
      <c r="CH112" s="125">
        <f t="shared" si="337"/>
        <v>-236.423</v>
      </c>
      <c r="CI112" s="125">
        <f t="shared" si="337"/>
        <v>-321.266</v>
      </c>
      <c r="CJ112" s="124">
        <f>SUM(CF112:CI112)</f>
        <v>-812.602</v>
      </c>
      <c r="CK112" s="172">
        <f>CK157</f>
        <v>-232.644</v>
      </c>
      <c r="CL112" s="125">
        <f t="shared" si="338"/>
        <v>-125.34</v>
      </c>
      <c r="CM112" s="125">
        <f t="shared" si="338"/>
        <v>-16.992</v>
      </c>
      <c r="CN112" s="125">
        <f t="shared" si="338"/>
        <v>-69.025</v>
      </c>
      <c r="CO112" s="124">
        <f>SUM(CK112:CN112)</f>
        <v>-444.001</v>
      </c>
      <c r="CP112" s="172">
        <f>CP157</f>
        <v>-98.479</v>
      </c>
      <c r="CQ112" s="125">
        <f t="shared" si="339"/>
        <v>-193.538</v>
      </c>
      <c r="CR112" s="125">
        <f t="shared" si="339"/>
        <v>-212.626</v>
      </c>
      <c r="CS112" s="125">
        <f t="shared" si="339"/>
        <v>-54.0090000000001</v>
      </c>
      <c r="CT112" s="124">
        <f>SUM(CP112:CS112)</f>
        <v>-558.652</v>
      </c>
      <c r="CU112" s="172">
        <f>CU157</f>
        <v>-299.479</v>
      </c>
      <c r="CV112" s="125">
        <f>CV157-CU157</f>
        <v>-589.456</v>
      </c>
      <c r="CW112" s="125">
        <f t="shared" si="340"/>
        <v>-412.593</v>
      </c>
      <c r="CX112" s="125">
        <f t="shared" si="340"/>
        <v>-335.351</v>
      </c>
      <c r="CY112" s="124">
        <f>SUM(CU112:CX112)</f>
        <v>-1636.879</v>
      </c>
      <c r="CZ112" s="172">
        <f>CZ157</f>
        <v>-434.439</v>
      </c>
      <c r="DA112" s="125">
        <f>DA157-CZ157</f>
        <v>-281.233</v>
      </c>
      <c r="DB112" s="125">
        <f t="shared" si="341"/>
        <v>-190.908</v>
      </c>
      <c r="DC112" s="125">
        <f t="shared" si="341"/>
        <v>-271.769</v>
      </c>
      <c r="DD112" s="124">
        <f>SUM(CZ112:DC112)</f>
        <v>-1178.349</v>
      </c>
      <c r="DE112" s="172">
        <f>DE157</f>
        <v>-361.756</v>
      </c>
      <c r="DF112" s="125">
        <f>DF157-DE157</f>
        <v>-333.349</v>
      </c>
      <c r="DG112" s="596">
        <v>-275</v>
      </c>
      <c r="DH112" s="596">
        <v>-275</v>
      </c>
      <c r="DI112" s="124">
        <f>SUM(DE112:DH112)</f>
        <v>-1245.105</v>
      </c>
      <c r="DJ112" s="596">
        <v>-150</v>
      </c>
      <c r="DK112" s="596">
        <v>-150</v>
      </c>
      <c r="DL112" s="596">
        <v>-150</v>
      </c>
      <c r="DM112" s="596">
        <v>-150</v>
      </c>
      <c r="DN112" s="124">
        <f>SUM(DJ112:DM112)</f>
        <v>-600</v>
      </c>
      <c r="DO112" s="596">
        <v>-150</v>
      </c>
      <c r="DP112" s="596">
        <v>-150</v>
      </c>
      <c r="DQ112" s="596">
        <v>-150</v>
      </c>
      <c r="DR112" s="596">
        <v>-150</v>
      </c>
      <c r="DS112" s="124">
        <f>SUM(DO112:DR112)</f>
        <v>-600</v>
      </c>
    </row>
    <row r="113" spans="1:123">
      <c r="B113" s="198" t="s">
        <v>117</v>
      </c>
      <c r="C113" s="124"/>
      <c r="H113" s="124"/>
      <c r="M113" s="124">
        <f t="shared" si="315"/>
        <v>0</v>
      </c>
      <c r="R113" s="124">
        <f t="shared" si="316"/>
        <v>0.054649</v>
      </c>
      <c r="W113" s="124">
        <f t="shared" si="317"/>
        <v>1.436471</v>
      </c>
      <c r="AB113" s="124">
        <f t="shared" si="318"/>
        <v>1.209</v>
      </c>
      <c r="AG113" s="124">
        <f t="shared" si="319"/>
        <v>5.836</v>
      </c>
      <c r="AH113" s="125">
        <f t="shared" si="319"/>
        <v>8.158</v>
      </c>
      <c r="AI113" s="125">
        <f t="shared" si="320"/>
        <v>3.937</v>
      </c>
      <c r="AJ113" s="125">
        <f t="shared" si="320"/>
        <v>2.379</v>
      </c>
      <c r="AK113" s="125">
        <f>AK158-AJ158</f>
        <v>-4.86</v>
      </c>
      <c r="AL113" s="124">
        <f t="shared" si="321"/>
        <v>9.614</v>
      </c>
      <c r="AM113" s="125">
        <f t="shared" si="321"/>
        <v>8.811</v>
      </c>
      <c r="AN113" s="125">
        <f t="shared" si="342"/>
        <v>1.659</v>
      </c>
      <c r="AO113" s="125">
        <f t="shared" si="342"/>
        <v>3.68</v>
      </c>
      <c r="AP113" s="125">
        <f t="shared" si="322"/>
        <v>-40.163</v>
      </c>
      <c r="AQ113" s="124">
        <f t="shared" si="323"/>
        <v>-26.013</v>
      </c>
      <c r="AR113" s="125">
        <f t="shared" si="323"/>
        <v>0.163</v>
      </c>
      <c r="AS113" s="125">
        <f t="shared" si="343"/>
        <v>6.142</v>
      </c>
      <c r="AT113" s="125">
        <f t="shared" si="343"/>
        <v>0.147999999999999</v>
      </c>
      <c r="AU113" s="125">
        <f t="shared" si="324"/>
        <v>-6.453</v>
      </c>
      <c r="AV113" s="124">
        <f t="shared" si="325"/>
        <v>0</v>
      </c>
      <c r="AW113" s="125">
        <f t="shared" si="325"/>
        <v>1.575</v>
      </c>
      <c r="AX113" s="125">
        <f t="shared" si="344"/>
        <v>-2.938</v>
      </c>
      <c r="AY113" s="125">
        <f t="shared" si="344"/>
        <v>-0.151999999999999</v>
      </c>
      <c r="AZ113" s="125">
        <f t="shared" si="326"/>
        <v>4.428</v>
      </c>
      <c r="BA113" s="124">
        <f t="shared" si="327"/>
        <v>2.913</v>
      </c>
      <c r="BB113" s="125">
        <f t="shared" si="327"/>
        <v>2.802</v>
      </c>
      <c r="BC113" s="125">
        <f t="shared" si="345"/>
        <v>0.504</v>
      </c>
      <c r="BD113" s="125">
        <f t="shared" si="345"/>
        <v>-0.639</v>
      </c>
      <c r="BE113" s="125">
        <f t="shared" si="328"/>
        <v>2.037</v>
      </c>
      <c r="BF113" s="124">
        <f t="shared" si="329"/>
        <v>4.704</v>
      </c>
      <c r="BG113" s="125">
        <f t="shared" si="329"/>
        <v>3.579</v>
      </c>
      <c r="BH113" s="125">
        <f t="shared" si="346"/>
        <v>1.1</v>
      </c>
      <c r="BI113" s="125">
        <f t="shared" si="346"/>
        <v>-0.0830000000000002</v>
      </c>
      <c r="BJ113" s="125">
        <f t="shared" si="330"/>
        <v>2.311</v>
      </c>
      <c r="BK113" s="124">
        <f t="shared" si="331"/>
        <v>6.907</v>
      </c>
      <c r="BL113" s="125">
        <f t="shared" si="331"/>
        <v>0.278</v>
      </c>
      <c r="BM113" s="125">
        <f t="shared" si="332"/>
        <v>-1.387</v>
      </c>
      <c r="BN113" s="125">
        <f t="shared" si="332"/>
        <v>2.757</v>
      </c>
      <c r="BO113" s="125">
        <f t="shared" si="332"/>
        <v>3.98</v>
      </c>
      <c r="BP113" s="124">
        <f>BP158</f>
        <v>5.628</v>
      </c>
      <c r="BQ113" s="125">
        <f>BQ158</f>
        <v>8.408</v>
      </c>
      <c r="BR113" s="125">
        <f t="shared" si="333"/>
        <v>5.344</v>
      </c>
      <c r="BS113" s="125">
        <f t="shared" si="333"/>
        <v>3.505</v>
      </c>
      <c r="BT113" s="125">
        <f>BT158-BS158</f>
        <v>0.392999999999997</v>
      </c>
      <c r="BU113" s="124">
        <f t="shared" si="334"/>
        <v>17.65</v>
      </c>
      <c r="BV113" s="125">
        <f t="shared" si="334"/>
        <v>12.177</v>
      </c>
      <c r="BW113" s="125">
        <f t="shared" si="335"/>
        <v>1.337</v>
      </c>
      <c r="BX113" s="125">
        <f t="shared" si="335"/>
        <v>1.516</v>
      </c>
      <c r="BY113" s="125">
        <f t="shared" si="335"/>
        <v>3.14</v>
      </c>
      <c r="BZ113" s="124">
        <f>SUM(BV113:BY113)</f>
        <v>18.17</v>
      </c>
      <c r="CA113" s="125">
        <f>CA158</f>
        <v>3.135</v>
      </c>
      <c r="CB113" s="125">
        <f t="shared" si="336"/>
        <v>9.328</v>
      </c>
      <c r="CC113" s="125">
        <f t="shared" si="336"/>
        <v>1.679</v>
      </c>
      <c r="CD113" s="125">
        <f>CD158-CC158</f>
        <v>1.121</v>
      </c>
      <c r="CE113" s="124">
        <f>SUM(CA113:CD113)</f>
        <v>15.263</v>
      </c>
      <c r="CF113" s="125">
        <f>CF158</f>
        <v>4.495</v>
      </c>
      <c r="CG113" s="125">
        <f t="shared" si="337"/>
        <v>5.218</v>
      </c>
      <c r="CH113" s="125">
        <f t="shared" si="337"/>
        <v>7.907</v>
      </c>
      <c r="CI113" s="125">
        <f t="shared" si="337"/>
        <v>0.573999999999998</v>
      </c>
      <c r="CJ113" s="124">
        <f>SUM(CF113:CI113)</f>
        <v>18.194</v>
      </c>
      <c r="CK113" s="172">
        <f>CK158</f>
        <v>5.143</v>
      </c>
      <c r="CL113" s="125">
        <f t="shared" si="338"/>
        <v>1.043</v>
      </c>
      <c r="CM113" s="125">
        <f t="shared" si="338"/>
        <v>4.057</v>
      </c>
      <c r="CN113" s="125">
        <f t="shared" si="338"/>
        <v>1.461</v>
      </c>
      <c r="CO113" s="124">
        <f>SUM(CK113:CN113)</f>
        <v>11.704</v>
      </c>
      <c r="CP113" s="172">
        <f>CP158</f>
        <v>11.873</v>
      </c>
      <c r="CQ113" s="125">
        <f t="shared" si="339"/>
        <v>4.228</v>
      </c>
      <c r="CR113" s="125">
        <f t="shared" si="339"/>
        <v>8.836</v>
      </c>
      <c r="CS113" s="125">
        <f t="shared" si="339"/>
        <v>17.493</v>
      </c>
      <c r="CT113" s="124">
        <f>SUM(CP113:CS113)</f>
        <v>42.43</v>
      </c>
      <c r="CU113" s="172">
        <f>CU158</f>
        <v>3.393</v>
      </c>
      <c r="CV113" s="125">
        <f>CV158-CU158</f>
        <v>2.37</v>
      </c>
      <c r="CW113" s="125">
        <f t="shared" si="340"/>
        <v>1.514</v>
      </c>
      <c r="CX113" s="125">
        <f t="shared" si="340"/>
        <v>12.536</v>
      </c>
      <c r="CY113" s="124">
        <f>SUM(CU113:CX113)</f>
        <v>19.813</v>
      </c>
      <c r="CZ113" s="172">
        <f>CZ158</f>
        <v>0.221</v>
      </c>
      <c r="DA113" s="125">
        <f>DA158-CZ158</f>
        <v>5.257</v>
      </c>
      <c r="DB113" s="125">
        <f t="shared" si="341"/>
        <v>0.0710000000000006</v>
      </c>
      <c r="DC113" s="125">
        <f t="shared" si="341"/>
        <v>2.828</v>
      </c>
      <c r="DD113" s="124">
        <f>SUM(CZ113:DC113)</f>
        <v>8.377</v>
      </c>
      <c r="DE113" s="172">
        <f>DE158</f>
        <v>0</v>
      </c>
      <c r="DF113" s="125">
        <f>DF158-DE158</f>
        <v>0</v>
      </c>
      <c r="DG113" s="596">
        <v>0</v>
      </c>
      <c r="DH113" s="596">
        <v>0</v>
      </c>
      <c r="DI113" s="124">
        <f>SUM(DE113:DH113)</f>
        <v>0</v>
      </c>
      <c r="DJ113" s="596">
        <v>0</v>
      </c>
      <c r="DK113" s="596">
        <v>0</v>
      </c>
      <c r="DL113" s="596">
        <v>0</v>
      </c>
      <c r="DM113" s="596">
        <v>0</v>
      </c>
      <c r="DN113" s="124">
        <f>SUM(DJ113:DM113)</f>
        <v>0</v>
      </c>
      <c r="DO113" s="596">
        <v>0</v>
      </c>
      <c r="DP113" s="596">
        <v>0</v>
      </c>
      <c r="DQ113" s="596">
        <v>0</v>
      </c>
      <c r="DR113" s="596">
        <v>0</v>
      </c>
      <c r="DS113" s="124">
        <f>SUM(DO113:DR113)</f>
        <v>0</v>
      </c>
    </row>
    <row r="114" spans="1:123">
      <c r="B114" s="198" t="s">
        <v>118</v>
      </c>
      <c r="C114" s="124"/>
      <c r="H114" s="124"/>
      <c r="M114" s="124">
        <f t="shared" si="315"/>
        <v>0</v>
      </c>
      <c r="R114" s="124">
        <f t="shared" si="316"/>
        <v>0</v>
      </c>
      <c r="W114" s="124">
        <f t="shared" si="317"/>
        <v>0</v>
      </c>
      <c r="AB114" s="124">
        <f t="shared" si="318"/>
        <v>0</v>
      </c>
      <c r="AG114" s="124">
        <f t="shared" si="319"/>
        <v>0</v>
      </c>
      <c r="AH114" s="125">
        <f t="shared" si="319"/>
        <v>0</v>
      </c>
      <c r="AI114" s="125">
        <f t="shared" si="320"/>
        <v>0</v>
      </c>
      <c r="AJ114" s="125">
        <f t="shared" si="320"/>
        <v>0</v>
      </c>
      <c r="AK114" s="125">
        <f>AK159-AJ159</f>
        <v>0</v>
      </c>
      <c r="AL114" s="124">
        <f t="shared" si="321"/>
        <v>0</v>
      </c>
      <c r="AM114" s="125">
        <f t="shared" si="321"/>
        <v>0</v>
      </c>
      <c r="AN114" s="125">
        <f t="shared" si="342"/>
        <v>0</v>
      </c>
      <c r="AO114" s="125">
        <f t="shared" si="342"/>
        <v>0</v>
      </c>
      <c r="AP114" s="125">
        <f t="shared" si="322"/>
        <v>0</v>
      </c>
      <c r="AQ114" s="124">
        <f t="shared" si="323"/>
        <v>0</v>
      </c>
      <c r="AR114" s="125">
        <f t="shared" si="323"/>
        <v>0</v>
      </c>
      <c r="AS114" s="125">
        <f t="shared" si="343"/>
        <v>0</v>
      </c>
      <c r="AT114" s="125">
        <f t="shared" si="343"/>
        <v>0</v>
      </c>
      <c r="AU114" s="125">
        <f t="shared" si="324"/>
        <v>0</v>
      </c>
      <c r="AV114" s="124">
        <f t="shared" si="325"/>
        <v>0</v>
      </c>
      <c r="AW114" s="125">
        <f t="shared" si="325"/>
        <v>0</v>
      </c>
      <c r="AX114" s="125">
        <f t="shared" si="344"/>
        <v>0</v>
      </c>
      <c r="AY114" s="125">
        <f t="shared" si="344"/>
        <v>0</v>
      </c>
      <c r="AZ114" s="125">
        <f t="shared" si="326"/>
        <v>0</v>
      </c>
      <c r="BA114" s="124">
        <f t="shared" si="327"/>
        <v>0</v>
      </c>
      <c r="BB114" s="125">
        <f t="shared" si="327"/>
        <v>0</v>
      </c>
      <c r="BC114" s="125">
        <f t="shared" si="345"/>
        <v>0</v>
      </c>
      <c r="BD114" s="125">
        <f t="shared" si="345"/>
        <v>0</v>
      </c>
      <c r="BE114" s="125">
        <f t="shared" si="328"/>
        <v>0</v>
      </c>
      <c r="BF114" s="124">
        <f t="shared" si="329"/>
        <v>0</v>
      </c>
      <c r="BG114" s="125">
        <f t="shared" si="329"/>
        <v>0</v>
      </c>
      <c r="BH114" s="125">
        <f t="shared" si="346"/>
        <v>0</v>
      </c>
      <c r="BI114" s="125">
        <f t="shared" si="346"/>
        <v>0</v>
      </c>
      <c r="BJ114" s="125">
        <f t="shared" si="330"/>
        <v>0</v>
      </c>
      <c r="BK114" s="124">
        <f t="shared" si="331"/>
        <v>0</v>
      </c>
      <c r="BL114" s="125">
        <f t="shared" si="331"/>
        <v>0</v>
      </c>
      <c r="BM114" s="125">
        <f t="shared" si="332"/>
        <v>0</v>
      </c>
      <c r="BN114" s="125">
        <f t="shared" si="332"/>
        <v>0</v>
      </c>
      <c r="BO114" s="125">
        <f t="shared" si="332"/>
        <v>0</v>
      </c>
      <c r="BP114" s="124">
        <f>BP159</f>
        <v>0</v>
      </c>
      <c r="BQ114" s="125">
        <f>BQ159</f>
        <v>0</v>
      </c>
      <c r="BR114" s="125">
        <f t="shared" si="333"/>
        <v>0</v>
      </c>
      <c r="BS114" s="125">
        <f t="shared" si="333"/>
        <v>0</v>
      </c>
      <c r="BT114" s="125">
        <f>BT159-BS159</f>
        <v>0</v>
      </c>
      <c r="BU114" s="124">
        <f t="shared" si="334"/>
        <v>0</v>
      </c>
      <c r="BV114" s="125">
        <f t="shared" si="334"/>
        <v>0</v>
      </c>
      <c r="BW114" s="125">
        <f t="shared" si="335"/>
        <v>0</v>
      </c>
      <c r="BX114" s="125">
        <f t="shared" si="335"/>
        <v>0</v>
      </c>
      <c r="BY114" s="125">
        <f t="shared" si="335"/>
        <v>0</v>
      </c>
      <c r="BZ114" s="124">
        <f>SUM(BV114:BY114)</f>
        <v>0</v>
      </c>
      <c r="CA114" s="125">
        <f>CA159</f>
        <v>0</v>
      </c>
      <c r="CB114" s="125">
        <f t="shared" si="336"/>
        <v>0</v>
      </c>
      <c r="CC114" s="125">
        <f t="shared" si="336"/>
        <v>0</v>
      </c>
      <c r="CD114" s="125">
        <f>CD159-CC159</f>
        <v>0</v>
      </c>
      <c r="CE114" s="124">
        <f>SUM(CA114:CD114)</f>
        <v>0</v>
      </c>
      <c r="CF114" s="125">
        <f>CF159</f>
        <v>0</v>
      </c>
      <c r="CG114" s="125">
        <f t="shared" si="337"/>
        <v>0</v>
      </c>
      <c r="CH114" s="125">
        <f t="shared" si="337"/>
        <v>0</v>
      </c>
      <c r="CI114" s="125">
        <f t="shared" si="337"/>
        <v>0</v>
      </c>
      <c r="CJ114" s="124">
        <f>SUM(CF114:CI114)</f>
        <v>0</v>
      </c>
      <c r="CK114" s="172">
        <f>CK159</f>
        <v>0</v>
      </c>
      <c r="CL114" s="125">
        <f t="shared" si="338"/>
        <v>0</v>
      </c>
      <c r="CM114" s="125">
        <f t="shared" si="338"/>
        <v>0</v>
      </c>
      <c r="CN114" s="125">
        <f t="shared" si="338"/>
        <v>0</v>
      </c>
      <c r="CO114" s="124">
        <f>SUM(CK114:CN114)</f>
        <v>0</v>
      </c>
      <c r="CP114" s="172">
        <f>CP159</f>
        <v>0</v>
      </c>
      <c r="CQ114" s="125">
        <f t="shared" si="339"/>
        <v>0</v>
      </c>
      <c r="CR114" s="125">
        <f t="shared" si="339"/>
        <v>0</v>
      </c>
      <c r="CS114" s="125">
        <f t="shared" si="339"/>
        <v>0</v>
      </c>
      <c r="CT114" s="124">
        <f>SUM(CP114:CS114)</f>
        <v>0</v>
      </c>
      <c r="CU114" s="172">
        <f>CU159</f>
        <v>0</v>
      </c>
      <c r="CV114" s="125">
        <f>CV159-CU159</f>
        <v>0</v>
      </c>
      <c r="CW114" s="125">
        <f t="shared" si="340"/>
        <v>0</v>
      </c>
      <c r="CX114" s="125">
        <f t="shared" si="340"/>
        <v>0</v>
      </c>
      <c r="CY114" s="124">
        <f>SUM(CU114:CX114)</f>
        <v>0</v>
      </c>
      <c r="CZ114" s="172">
        <f>CZ159</f>
        <v>0</v>
      </c>
      <c r="DA114" s="125">
        <f>DA159-CZ159</f>
        <v>0</v>
      </c>
      <c r="DB114" s="125">
        <f t="shared" si="341"/>
        <v>0</v>
      </c>
      <c r="DC114" s="125">
        <f t="shared" si="341"/>
        <v>0</v>
      </c>
      <c r="DD114" s="124">
        <f>SUM(CZ114:DC114)</f>
        <v>0</v>
      </c>
      <c r="DE114" s="172">
        <f>DE159</f>
        <v>0</v>
      </c>
      <c r="DF114" s="125">
        <f>DF159-DE159</f>
        <v>0</v>
      </c>
      <c r="DG114" s="596">
        <v>0</v>
      </c>
      <c r="DH114" s="596">
        <v>0</v>
      </c>
      <c r="DI114" s="124">
        <f>SUM(DE114:DH114)</f>
        <v>0</v>
      </c>
      <c r="DJ114" s="596">
        <v>0</v>
      </c>
      <c r="DK114" s="596">
        <v>0</v>
      </c>
      <c r="DL114" s="596">
        <v>0</v>
      </c>
      <c r="DM114" s="596">
        <v>0</v>
      </c>
      <c r="DN114" s="124">
        <f>SUM(DJ114:DM114)</f>
        <v>0</v>
      </c>
      <c r="DO114" s="596">
        <v>0</v>
      </c>
      <c r="DP114" s="596">
        <v>0</v>
      </c>
      <c r="DQ114" s="596">
        <v>0</v>
      </c>
      <c r="DR114" s="596">
        <v>0</v>
      </c>
      <c r="DS114" s="124">
        <f>SUM(DO114:DR114)</f>
        <v>0</v>
      </c>
    </row>
    <row r="115" spans="1:123">
      <c r="B115" s="198" t="s">
        <v>55</v>
      </c>
      <c r="C115" s="124"/>
      <c r="H115" s="124"/>
      <c r="M115" s="124">
        <f t="shared" si="315"/>
        <v>0.668859</v>
      </c>
      <c r="R115" s="124">
        <f t="shared" si="316"/>
        <v>31.357508</v>
      </c>
      <c r="W115" s="124">
        <f t="shared" si="317"/>
        <v>12.024413</v>
      </c>
      <c r="AB115" s="124">
        <f t="shared" si="318"/>
        <v>-3.858</v>
      </c>
      <c r="AG115" s="124">
        <f t="shared" si="319"/>
        <v>7.863</v>
      </c>
      <c r="AH115" s="125">
        <f t="shared" si="319"/>
        <v>0</v>
      </c>
      <c r="AI115" s="125">
        <f t="shared" si="320"/>
        <v>0</v>
      </c>
      <c r="AJ115" s="125">
        <f t="shared" si="320"/>
        <v>0</v>
      </c>
      <c r="AK115" s="125">
        <f>AK160-AJ160</f>
        <v>5.75</v>
      </c>
      <c r="AL115" s="124">
        <f t="shared" si="321"/>
        <v>5.75</v>
      </c>
      <c r="AM115" s="125">
        <f t="shared" si="321"/>
        <v>0</v>
      </c>
      <c r="AN115" s="125">
        <f t="shared" si="342"/>
        <v>0</v>
      </c>
      <c r="AO115" s="125">
        <f t="shared" si="342"/>
        <v>-26.013</v>
      </c>
      <c r="AP115" s="125">
        <f t="shared" si="322"/>
        <v>46.535</v>
      </c>
      <c r="AQ115" s="124">
        <f t="shared" si="323"/>
        <v>20.522</v>
      </c>
      <c r="AR115" s="125">
        <f t="shared" si="323"/>
        <v>-4.521</v>
      </c>
      <c r="AS115" s="125">
        <f t="shared" si="343"/>
        <v>4.521</v>
      </c>
      <c r="AT115" s="125">
        <f t="shared" si="343"/>
        <v>2.201</v>
      </c>
      <c r="AU115" s="125">
        <f t="shared" si="324"/>
        <v>6.706</v>
      </c>
      <c r="AV115" s="124">
        <f t="shared" si="325"/>
        <v>8.907</v>
      </c>
      <c r="AW115" s="125">
        <f t="shared" si="325"/>
        <v>-3.224</v>
      </c>
      <c r="AX115" s="125">
        <f t="shared" si="344"/>
        <v>3.224</v>
      </c>
      <c r="AY115" s="125">
        <f t="shared" si="344"/>
        <v>0</v>
      </c>
      <c r="AZ115" s="125">
        <f>AZ160-AY160-0.067</f>
        <v>-4.626</v>
      </c>
      <c r="BA115" s="124">
        <f t="shared" si="327"/>
        <v>-4.559</v>
      </c>
      <c r="BB115" s="125">
        <f t="shared" si="327"/>
        <v>-1.028</v>
      </c>
      <c r="BC115" s="125">
        <f t="shared" si="345"/>
        <v>0.883</v>
      </c>
      <c r="BD115" s="125">
        <f t="shared" si="345"/>
        <v>0</v>
      </c>
      <c r="BE115" s="125">
        <f t="shared" si="328"/>
        <v>-4.059</v>
      </c>
      <c r="BF115" s="124">
        <f t="shared" si="329"/>
        <v>-4.204</v>
      </c>
      <c r="BG115" s="125">
        <f t="shared" si="329"/>
        <v>-1.143</v>
      </c>
      <c r="BH115" s="125">
        <f t="shared" si="346"/>
        <v>1.143</v>
      </c>
      <c r="BI115" s="125">
        <f t="shared" si="346"/>
        <v>0</v>
      </c>
      <c r="BJ115" s="125">
        <f t="shared" si="330"/>
        <v>-2.918</v>
      </c>
      <c r="BK115" s="124">
        <f t="shared" si="331"/>
        <v>-2.918</v>
      </c>
      <c r="BL115" s="125">
        <f t="shared" si="331"/>
        <v>-1.961</v>
      </c>
      <c r="BM115" s="125">
        <f t="shared" si="332"/>
        <v>1.961</v>
      </c>
      <c r="BN115" s="125">
        <f t="shared" si="332"/>
        <v>-3.086</v>
      </c>
      <c r="BO115" s="125">
        <f t="shared" si="332"/>
        <v>-0.143</v>
      </c>
      <c r="BP115" s="124">
        <f>BP160</f>
        <v>-3.229</v>
      </c>
      <c r="BQ115" s="125">
        <f>BQ160</f>
        <v>-6.5</v>
      </c>
      <c r="BR115" s="125">
        <f t="shared" si="333"/>
        <v>-1.245</v>
      </c>
      <c r="BS115" s="125">
        <f t="shared" si="333"/>
        <v>-1.538</v>
      </c>
      <c r="BT115" s="125">
        <f>BT160-BS160</f>
        <v>-0.241</v>
      </c>
      <c r="BU115" s="124">
        <f t="shared" si="334"/>
        <v>-9.524</v>
      </c>
      <c r="BV115" s="125">
        <f t="shared" si="334"/>
        <v>-18.939</v>
      </c>
      <c r="BW115" s="125">
        <f t="shared" si="335"/>
        <v>-0.460999999999999</v>
      </c>
      <c r="BX115" s="125">
        <f t="shared" si="335"/>
        <v>-2.093</v>
      </c>
      <c r="BY115" s="125">
        <f t="shared" si="335"/>
        <v>-0.451000000000001</v>
      </c>
      <c r="BZ115" s="124">
        <f>SUM(BV115:BY115)</f>
        <v>-21.944</v>
      </c>
      <c r="CA115" s="125">
        <f>CA160</f>
        <v>-30.059</v>
      </c>
      <c r="CB115" s="125">
        <f t="shared" si="336"/>
        <v>-0.898</v>
      </c>
      <c r="CC115" s="125">
        <f t="shared" si="336"/>
        <v>-0.925999999999998</v>
      </c>
      <c r="CD115" s="125">
        <f>CD160-CC160</f>
        <v>-0.504999999999999</v>
      </c>
      <c r="CE115" s="124">
        <f>SUM(CA115:CD115)</f>
        <v>-32.388</v>
      </c>
      <c r="CF115" s="125">
        <f>CF160</f>
        <v>-42.899</v>
      </c>
      <c r="CG115" s="125">
        <f t="shared" si="337"/>
        <v>-2.668</v>
      </c>
      <c r="CH115" s="125">
        <f t="shared" si="337"/>
        <v>-3.914</v>
      </c>
      <c r="CI115" s="125">
        <f t="shared" si="337"/>
        <v>-1.098</v>
      </c>
      <c r="CJ115" s="124">
        <f>SUM(CF115:CI115)</f>
        <v>-50.579</v>
      </c>
      <c r="CK115" s="172">
        <f>CK160</f>
        <v>-32.059</v>
      </c>
      <c r="CL115" s="125">
        <f t="shared" si="338"/>
        <v>-0.719000000000001</v>
      </c>
      <c r="CM115" s="125">
        <f t="shared" si="338"/>
        <v>-1.917</v>
      </c>
      <c r="CN115" s="125">
        <f t="shared" si="338"/>
        <v>-0.494999999999997</v>
      </c>
      <c r="CO115" s="124">
        <f>SUM(CK115:CN115)</f>
        <v>-35.19</v>
      </c>
      <c r="CP115" s="172">
        <f>CP160</f>
        <v>-28.793</v>
      </c>
      <c r="CQ115" s="125">
        <f t="shared" si="339"/>
        <v>-0.942</v>
      </c>
      <c r="CR115" s="125">
        <f t="shared" si="339"/>
        <v>-1.142</v>
      </c>
      <c r="CS115" s="125">
        <f t="shared" si="339"/>
        <v>-1.729</v>
      </c>
      <c r="CT115" s="124">
        <f>SUM(CP115:CS115)</f>
        <v>-32.606</v>
      </c>
      <c r="CU115" s="172">
        <f>CU160</f>
        <v>-32.542</v>
      </c>
      <c r="CV115" s="125">
        <f>CV160-CU160</f>
        <v>-0.829000000000001</v>
      </c>
      <c r="CW115" s="125">
        <f t="shared" si="340"/>
        <v>-0.887999999999998</v>
      </c>
      <c r="CX115" s="125">
        <f t="shared" si="340"/>
        <v>-1.18299999999999</v>
      </c>
      <c r="CY115" s="124">
        <f>SUM(CU115:CX115)</f>
        <v>-35.442</v>
      </c>
      <c r="CZ115" s="172">
        <f>CZ160</f>
        <v>-33.756</v>
      </c>
      <c r="DA115" s="125">
        <f>DA160-CZ160</f>
        <v>-0.872999999999998</v>
      </c>
      <c r="DB115" s="125">
        <f t="shared" si="341"/>
        <v>-3.366</v>
      </c>
      <c r="DC115" s="125">
        <f t="shared" si="341"/>
        <v>-0.689</v>
      </c>
      <c r="DD115" s="124">
        <f>SUM(CZ115:DC115)</f>
        <v>-38.684</v>
      </c>
      <c r="DE115" s="172">
        <f>DE160</f>
        <v>-16.769</v>
      </c>
      <c r="DF115" s="125">
        <f>DF160-DE160</f>
        <v>-0.351000000000003</v>
      </c>
      <c r="DG115" s="596">
        <v>0</v>
      </c>
      <c r="DH115" s="596">
        <v>0</v>
      </c>
      <c r="DI115" s="124">
        <f>SUM(DE115:DH115)</f>
        <v>-17.12</v>
      </c>
      <c r="DJ115" s="596">
        <v>0</v>
      </c>
      <c r="DK115" s="596">
        <v>0</v>
      </c>
      <c r="DL115" s="596">
        <v>0</v>
      </c>
      <c r="DM115" s="596">
        <v>0</v>
      </c>
      <c r="DN115" s="124">
        <f>SUM(DJ115:DM115)</f>
        <v>0</v>
      </c>
      <c r="DO115" s="596">
        <v>0</v>
      </c>
      <c r="DP115" s="596">
        <v>0</v>
      </c>
      <c r="DQ115" s="596">
        <v>0</v>
      </c>
      <c r="DR115" s="596">
        <v>0</v>
      </c>
      <c r="DS115" s="124">
        <f>SUM(DO115:DR115)</f>
        <v>0</v>
      </c>
    </row>
    <row r="116" spans="1:123">
      <c r="B116" s="198"/>
      <c r="C116" s="124"/>
      <c r="H116" s="124"/>
      <c r="M116" s="124"/>
      <c r="R116" s="124"/>
      <c r="W116" s="124"/>
      <c r="AB116" s="124"/>
      <c r="AG116" s="124"/>
      <c r="AL116" s="124"/>
      <c r="AQ116" s="124"/>
      <c r="AV116" s="124"/>
      <c r="BA116" s="124"/>
      <c r="BF116" s="124"/>
      <c r="BK116" s="124"/>
      <c r="BP116" s="124"/>
      <c r="BU116" s="124"/>
      <c r="BZ116" s="124"/>
      <c r="CE116" s="124"/>
      <c r="CJ116" s="124"/>
      <c r="CK116" s="172"/>
      <c r="CO116" s="124"/>
      <c r="CP116" s="172"/>
      <c r="CT116" s="124"/>
      <c r="CU116" s="172"/>
      <c r="CY116" s="124"/>
      <c r="CZ116" s="172"/>
      <c r="DD116" s="124"/>
      <c r="DE116" s="172"/>
      <c r="DI116" s="124"/>
      <c r="DN116" s="124"/>
      <c r="DS116" s="124"/>
    </row>
    <row r="117" s="3" customFormat="1" spans="1:123">
      <c r="A117" s="132"/>
      <c r="B117" s="597" t="s">
        <v>119</v>
      </c>
      <c r="C117" s="598"/>
      <c r="D117" s="599"/>
      <c r="E117" s="599"/>
      <c r="F117" s="599"/>
      <c r="G117" s="599"/>
      <c r="H117" s="598"/>
      <c r="I117" s="599"/>
      <c r="J117" s="599"/>
      <c r="K117" s="599"/>
      <c r="L117" s="599"/>
      <c r="M117" s="598">
        <f>SUM(M111:M115)</f>
        <v>0.668859</v>
      </c>
      <c r="N117" s="599"/>
      <c r="O117" s="599"/>
      <c r="P117" s="599"/>
      <c r="Q117" s="599"/>
      <c r="R117" s="598">
        <f>SUM(R111:R115)</f>
        <v>31.412157</v>
      </c>
      <c r="S117" s="599"/>
      <c r="T117" s="599"/>
      <c r="U117" s="599"/>
      <c r="V117" s="599"/>
      <c r="W117" s="598">
        <f>SUM(W111:W115)</f>
        <v>13.460884</v>
      </c>
      <c r="X117" s="599"/>
      <c r="Y117" s="599"/>
      <c r="Z117" s="599"/>
      <c r="AA117" s="599"/>
      <c r="AB117" s="598">
        <f>SUM(AB111:AB115)</f>
        <v>-2.649</v>
      </c>
      <c r="AC117" s="599"/>
      <c r="AD117" s="599"/>
      <c r="AE117" s="599"/>
      <c r="AF117" s="599"/>
      <c r="AG117" s="598">
        <f t="shared" ref="AG117:BL117" si="347">SUM(AG111:AG115)</f>
        <v>13.699</v>
      </c>
      <c r="AH117" s="599">
        <f t="shared" si="347"/>
        <v>8.158</v>
      </c>
      <c r="AI117" s="599">
        <f t="shared" si="347"/>
        <v>3.937</v>
      </c>
      <c r="AJ117" s="599">
        <f t="shared" si="347"/>
        <v>2.379</v>
      </c>
      <c r="AK117" s="599">
        <f t="shared" si="347"/>
        <v>0.890000000000001</v>
      </c>
      <c r="AL117" s="598">
        <f t="shared" si="347"/>
        <v>15.364</v>
      </c>
      <c r="AM117" s="599">
        <f t="shared" si="347"/>
        <v>8.811</v>
      </c>
      <c r="AN117" s="599">
        <f t="shared" si="347"/>
        <v>1.659</v>
      </c>
      <c r="AO117" s="599">
        <f t="shared" si="347"/>
        <v>-22.333</v>
      </c>
      <c r="AP117" s="599">
        <f t="shared" si="347"/>
        <v>6.372</v>
      </c>
      <c r="AQ117" s="598">
        <f t="shared" si="347"/>
        <v>-5.491</v>
      </c>
      <c r="AR117" s="599">
        <f t="shared" si="347"/>
        <v>-4.358</v>
      </c>
      <c r="AS117" s="599">
        <f t="shared" si="347"/>
        <v>10.663</v>
      </c>
      <c r="AT117" s="599">
        <f t="shared" si="347"/>
        <v>2.349</v>
      </c>
      <c r="AU117" s="599">
        <f t="shared" si="347"/>
        <v>0.253</v>
      </c>
      <c r="AV117" s="598">
        <f t="shared" si="347"/>
        <v>8.907</v>
      </c>
      <c r="AW117" s="599">
        <f t="shared" si="347"/>
        <v>-1.649</v>
      </c>
      <c r="AX117" s="599">
        <f t="shared" si="347"/>
        <v>-55.518</v>
      </c>
      <c r="AY117" s="599">
        <f t="shared" si="347"/>
        <v>-74.614</v>
      </c>
      <c r="AZ117" s="599">
        <f t="shared" si="347"/>
        <v>-17.363</v>
      </c>
      <c r="BA117" s="598">
        <f t="shared" si="347"/>
        <v>-149.077</v>
      </c>
      <c r="BB117" s="599">
        <f t="shared" si="347"/>
        <v>-17.041</v>
      </c>
      <c r="BC117" s="599">
        <f t="shared" si="347"/>
        <v>-61.796</v>
      </c>
      <c r="BD117" s="599">
        <f t="shared" si="347"/>
        <v>-88.615</v>
      </c>
      <c r="BE117" s="599">
        <f t="shared" si="347"/>
        <v>-106.241</v>
      </c>
      <c r="BF117" s="598">
        <f t="shared" si="347"/>
        <v>-273.693</v>
      </c>
      <c r="BG117" s="600">
        <f t="shared" si="347"/>
        <v>-13.329</v>
      </c>
      <c r="BH117" s="599">
        <f t="shared" si="347"/>
        <v>-10.548</v>
      </c>
      <c r="BI117" s="599">
        <f t="shared" si="347"/>
        <v>-0.0830000000000002</v>
      </c>
      <c r="BJ117" s="599">
        <f t="shared" si="347"/>
        <v>-1.378</v>
      </c>
      <c r="BK117" s="598">
        <f t="shared" si="347"/>
        <v>-25.338</v>
      </c>
      <c r="BL117" s="599">
        <f t="shared" si="347"/>
        <v>-14.487</v>
      </c>
      <c r="BM117" s="599">
        <f t="shared" ref="BM117:CO117" si="348">SUM(BM111:BM115)</f>
        <v>-77.423</v>
      </c>
      <c r="BN117" s="599">
        <f t="shared" si="348"/>
        <v>-8.797</v>
      </c>
      <c r="BO117" s="599">
        <f t="shared" si="348"/>
        <v>2.84500000000001</v>
      </c>
      <c r="BP117" s="598">
        <f t="shared" si="348"/>
        <v>-97.862</v>
      </c>
      <c r="BQ117" s="599">
        <f t="shared" si="348"/>
        <v>1.9</v>
      </c>
      <c r="BR117" s="599">
        <f t="shared" si="348"/>
        <v>-302.139</v>
      </c>
      <c r="BS117" s="599">
        <f t="shared" si="348"/>
        <v>-106.122</v>
      </c>
      <c r="BT117" s="599">
        <f t="shared" si="348"/>
        <v>-183.853</v>
      </c>
      <c r="BU117" s="598">
        <f t="shared" si="348"/>
        <v>-590.214</v>
      </c>
      <c r="BV117" s="599">
        <f t="shared" si="348"/>
        <v>-170.292</v>
      </c>
      <c r="BW117" s="599">
        <f t="shared" si="348"/>
        <v>-0.692999999999987</v>
      </c>
      <c r="BX117" s="599">
        <f t="shared" si="348"/>
        <v>-8.57000000000002</v>
      </c>
      <c r="BY117" s="599">
        <f t="shared" si="348"/>
        <v>2.38200000000001</v>
      </c>
      <c r="BZ117" s="598">
        <f t="shared" si="348"/>
        <v>-177.173</v>
      </c>
      <c r="CA117" s="599">
        <f t="shared" si="348"/>
        <v>-90.587</v>
      </c>
      <c r="CB117" s="599">
        <f t="shared" ref="CB117:CI117" si="349">SUM(CB111:CB115)</f>
        <v>8.43</v>
      </c>
      <c r="CC117" s="599">
        <f t="shared" si="349"/>
        <v>0.753000000000002</v>
      </c>
      <c r="CD117" s="599">
        <f t="shared" si="349"/>
        <v>0.616000000000001</v>
      </c>
      <c r="CE117" s="598">
        <f t="shared" si="349"/>
        <v>-80.788</v>
      </c>
      <c r="CF117" s="599">
        <f t="shared" si="349"/>
        <v>-122.235</v>
      </c>
      <c r="CG117" s="599">
        <f t="shared" si="349"/>
        <v>-168.532</v>
      </c>
      <c r="CH117" s="599">
        <f t="shared" si="349"/>
        <v>-232.43</v>
      </c>
      <c r="CI117" s="599">
        <f t="shared" si="349"/>
        <v>-321.79</v>
      </c>
      <c r="CJ117" s="598">
        <f t="shared" si="348"/>
        <v>-844.987</v>
      </c>
      <c r="CK117" s="599">
        <f t="shared" si="348"/>
        <v>-259.56</v>
      </c>
      <c r="CL117" s="599">
        <f t="shared" si="348"/>
        <v>-125.016</v>
      </c>
      <c r="CM117" s="599">
        <f t="shared" si="348"/>
        <v>-14.852</v>
      </c>
      <c r="CN117" s="599">
        <f t="shared" si="348"/>
        <v>-68.059</v>
      </c>
      <c r="CO117" s="598">
        <f t="shared" si="348"/>
        <v>-467.487</v>
      </c>
      <c r="CP117" s="599">
        <f t="shared" ref="CP117:DI117" si="350">SUM(CP111:CP115)</f>
        <v>-115.399</v>
      </c>
      <c r="CQ117" s="599">
        <f t="shared" si="350"/>
        <v>-190.252</v>
      </c>
      <c r="CR117" s="599">
        <f t="shared" si="350"/>
        <v>-204.932</v>
      </c>
      <c r="CS117" s="599">
        <f t="shared" si="350"/>
        <v>-38.2450000000001</v>
      </c>
      <c r="CT117" s="598">
        <f t="shared" si="350"/>
        <v>-548.828</v>
      </c>
      <c r="CU117" s="599">
        <f t="shared" si="350"/>
        <v>-328.628</v>
      </c>
      <c r="CV117" s="599">
        <f t="shared" si="350"/>
        <v>-587.915</v>
      </c>
      <c r="CW117" s="599">
        <f t="shared" ref="CW117:CX117" si="351">SUM(CW111:CW115)</f>
        <v>-411.967</v>
      </c>
      <c r="CX117" s="599">
        <f t="shared" si="351"/>
        <v>-323.998</v>
      </c>
      <c r="CY117" s="598">
        <f t="shared" si="350"/>
        <v>-1652.508</v>
      </c>
      <c r="CZ117" s="599">
        <f t="shared" ref="CZ117:DC117" si="352">SUM(CZ111:CZ115)</f>
        <v>-467.974</v>
      </c>
      <c r="DA117" s="599">
        <f t="shared" si="352"/>
        <v>-276.849</v>
      </c>
      <c r="DB117" s="599">
        <f t="shared" si="352"/>
        <v>-194.203</v>
      </c>
      <c r="DC117" s="599">
        <f t="shared" si="352"/>
        <v>-269.63</v>
      </c>
      <c r="DD117" s="598">
        <f t="shared" si="350"/>
        <v>-1208.656</v>
      </c>
      <c r="DE117" s="599">
        <f t="shared" si="350"/>
        <v>-378.525</v>
      </c>
      <c r="DF117" s="599">
        <f t="shared" si="350"/>
        <v>-333.7</v>
      </c>
      <c r="DG117" s="599">
        <f t="shared" si="350"/>
        <v>-275</v>
      </c>
      <c r="DH117" s="599">
        <f t="shared" si="350"/>
        <v>-275</v>
      </c>
      <c r="DI117" s="598">
        <f t="shared" si="350"/>
        <v>-1262.225</v>
      </c>
      <c r="DJ117" s="599">
        <f t="shared" ref="DJ117:DN117" si="353">SUM(DJ111:DJ115)</f>
        <v>-150</v>
      </c>
      <c r="DK117" s="599">
        <f t="shared" si="353"/>
        <v>-150</v>
      </c>
      <c r="DL117" s="599">
        <f t="shared" si="353"/>
        <v>-150</v>
      </c>
      <c r="DM117" s="599">
        <f t="shared" si="353"/>
        <v>-150</v>
      </c>
      <c r="DN117" s="598">
        <f t="shared" si="353"/>
        <v>-600</v>
      </c>
      <c r="DO117" s="599">
        <f t="shared" ref="DO117:DS117" si="354">SUM(DO111:DO115)</f>
        <v>-150</v>
      </c>
      <c r="DP117" s="599">
        <f t="shared" si="354"/>
        <v>-150</v>
      </c>
      <c r="DQ117" s="599">
        <f t="shared" si="354"/>
        <v>-150</v>
      </c>
      <c r="DR117" s="599">
        <f t="shared" si="354"/>
        <v>-150</v>
      </c>
      <c r="DS117" s="598">
        <f t="shared" si="354"/>
        <v>-600</v>
      </c>
    </row>
    <row r="118" spans="1:123">
      <c r="B118" s="198" t="s">
        <v>120</v>
      </c>
      <c r="C118" s="124"/>
      <c r="H118" s="124"/>
      <c r="M118" s="124">
        <f t="shared" si="315"/>
        <v>-0.616486</v>
      </c>
      <c r="R118" s="124">
        <f t="shared" si="316"/>
        <v>4.653263</v>
      </c>
      <c r="W118" s="124">
        <f t="shared" si="317"/>
        <v>-8.851203</v>
      </c>
      <c r="AB118" s="124">
        <f t="shared" si="318"/>
        <v>3.772</v>
      </c>
      <c r="AG118" s="124">
        <f>AG163</f>
        <v>5.858</v>
      </c>
      <c r="AH118" s="125">
        <f>AH163</f>
        <v>5.603</v>
      </c>
      <c r="AI118" s="125">
        <f>AI163-AH163</f>
        <v>-1.461</v>
      </c>
      <c r="AJ118" s="125">
        <f>AJ163-AI163</f>
        <v>-5.132</v>
      </c>
      <c r="AK118" s="125">
        <f>AK163-AJ163</f>
        <v>-2.527</v>
      </c>
      <c r="AL118" s="124">
        <f t="shared" si="321"/>
        <v>-3.517</v>
      </c>
      <c r="AM118" s="125">
        <f t="shared" si="321"/>
        <v>2.826</v>
      </c>
      <c r="AN118" s="125">
        <f>AN163-AM163</f>
        <v>-2.921</v>
      </c>
      <c r="AO118" s="125">
        <f>AO163-AN163</f>
        <v>0.745</v>
      </c>
      <c r="AP118" s="125">
        <f>AP163-AO163</f>
        <v>-1.301</v>
      </c>
      <c r="AQ118" s="124">
        <f t="shared" si="323"/>
        <v>-0.651</v>
      </c>
      <c r="AR118" s="125">
        <f t="shared" si="323"/>
        <v>-1.562</v>
      </c>
      <c r="AS118" s="125">
        <f>AS163-AR163</f>
        <v>-11.566</v>
      </c>
      <c r="AT118" s="125">
        <f>AT163-AS163</f>
        <v>-7.82</v>
      </c>
      <c r="AU118" s="125">
        <f>AU163-AT163</f>
        <v>-51.42</v>
      </c>
      <c r="AV118" s="124">
        <f t="shared" si="325"/>
        <v>-72.368</v>
      </c>
      <c r="AW118" s="125">
        <f t="shared" si="325"/>
        <v>9.437</v>
      </c>
      <c r="AX118" s="125">
        <f>AX163-AW163</f>
        <v>2.271</v>
      </c>
      <c r="AY118" s="125">
        <f>AY163-AX163</f>
        <v>-22.462</v>
      </c>
      <c r="AZ118" s="125">
        <f>AZ163-AY163</f>
        <v>-69.055</v>
      </c>
      <c r="BA118" s="124">
        <f t="shared" si="327"/>
        <v>-79.809</v>
      </c>
      <c r="BB118" s="125">
        <f t="shared" si="327"/>
        <v>15.439</v>
      </c>
      <c r="BC118" s="125">
        <f>BC163-BB163</f>
        <v>-26.862</v>
      </c>
      <c r="BD118" s="125">
        <f>BD163-BC163</f>
        <v>-0.0370000000000008</v>
      </c>
      <c r="BE118" s="125">
        <f>BE163-BD163</f>
        <v>-33.097</v>
      </c>
      <c r="BF118" s="124">
        <f t="shared" si="329"/>
        <v>-44.557</v>
      </c>
      <c r="BG118" s="125">
        <f t="shared" si="329"/>
        <v>48.803</v>
      </c>
      <c r="BH118" s="125">
        <f>BH163-BG163</f>
        <v>-19.785</v>
      </c>
      <c r="BI118" s="125">
        <f>BI163-BH163</f>
        <v>-17.317</v>
      </c>
      <c r="BJ118" s="125">
        <f>BJ163-BI163</f>
        <v>11.393</v>
      </c>
      <c r="BK118" s="124">
        <f t="shared" si="331"/>
        <v>23.094</v>
      </c>
      <c r="BL118" s="125">
        <f t="shared" si="331"/>
        <v>-21.591</v>
      </c>
      <c r="BM118" s="125">
        <f>BM163-BL163</f>
        <v>47.718</v>
      </c>
      <c r="BN118" s="125">
        <f>BN163-BM163</f>
        <v>-21.47</v>
      </c>
      <c r="BO118" s="125">
        <f>BO163-BN163</f>
        <v>32.915</v>
      </c>
      <c r="BP118" s="124">
        <f>BP163</f>
        <v>37.572</v>
      </c>
      <c r="BQ118" s="125">
        <f>BQ163</f>
        <v>-27.353</v>
      </c>
      <c r="BR118" s="125">
        <f>BR163-BQ163</f>
        <v>-5.802</v>
      </c>
      <c r="BS118" s="125">
        <f>BS163-BR163</f>
        <v>1.66</v>
      </c>
      <c r="BT118" s="125">
        <f>BT163-BS163</f>
        <v>12.543</v>
      </c>
      <c r="BU118" s="124">
        <f>BU163</f>
        <v>-18.952</v>
      </c>
      <c r="BV118" s="125">
        <f>BV163</f>
        <v>-8.076</v>
      </c>
      <c r="BW118" s="125">
        <f>BW163-BV163</f>
        <v>3.406</v>
      </c>
      <c r="BX118" s="125">
        <f>BX163-BW163</f>
        <v>6.427</v>
      </c>
      <c r="BY118" s="125">
        <f>BY163-BX163</f>
        <v>-3.307</v>
      </c>
      <c r="BZ118" s="124">
        <f>SUM(BV118:BY118)</f>
        <v>-1.55</v>
      </c>
      <c r="CA118" s="125">
        <f>CA163</f>
        <v>-13.043</v>
      </c>
      <c r="CB118" s="125">
        <f>CB163-CA163</f>
        <v>9.954</v>
      </c>
      <c r="CC118" s="125">
        <f>CC163-CB163</f>
        <v>3.709</v>
      </c>
      <c r="CD118" s="125">
        <f>CD163-CC163</f>
        <v>29.376</v>
      </c>
      <c r="CE118" s="124">
        <f>SUM(CA118:CD118)</f>
        <v>29.996</v>
      </c>
      <c r="CF118" s="125">
        <f>CF163</f>
        <v>22.812</v>
      </c>
      <c r="CG118" s="125">
        <f>CG163-CF163</f>
        <v>-10.8</v>
      </c>
      <c r="CH118" s="125">
        <f>CH163-CG163</f>
        <v>9.573</v>
      </c>
      <c r="CI118" s="125">
        <f>CI163-CH163</f>
        <v>-28.461</v>
      </c>
      <c r="CJ118" s="124">
        <f>SUM(CF118:CI118)</f>
        <v>-6.876</v>
      </c>
      <c r="CK118" s="172">
        <f>CK163</f>
        <v>-6.711</v>
      </c>
      <c r="CL118" s="125">
        <f>CL163-CK163</f>
        <v>0.809</v>
      </c>
      <c r="CM118" s="125">
        <f>CM163-CL163</f>
        <v>-35.254</v>
      </c>
      <c r="CN118" s="125">
        <f>CN163-CM163</f>
        <v>7.113</v>
      </c>
      <c r="CO118" s="124">
        <f>SUM(CK118:CN118)</f>
        <v>-34.043</v>
      </c>
      <c r="CP118" s="172">
        <f>CP163</f>
        <v>3.855</v>
      </c>
      <c r="CQ118" s="125">
        <f>CQ163-CP163</f>
        <v>15.906</v>
      </c>
      <c r="CR118" s="125">
        <f>CR163-CQ163</f>
        <v>-39.648</v>
      </c>
      <c r="CS118" s="125">
        <f>CS163-CR163</f>
        <v>15.787</v>
      </c>
      <c r="CT118" s="124">
        <f>SUM(CP118:CS118)</f>
        <v>-4.1</v>
      </c>
      <c r="CU118" s="172">
        <f>CU163</f>
        <v>-10.658</v>
      </c>
      <c r="CV118" s="125">
        <f>CV163-CU163</f>
        <v>-10.697</v>
      </c>
      <c r="CW118" s="125">
        <f>CW163-CV163</f>
        <v>-1.796</v>
      </c>
      <c r="CX118" s="125">
        <f>CX163-CW163</f>
        <v>-58.515</v>
      </c>
      <c r="CY118" s="124">
        <f>SUM(CU118:CX118)</f>
        <v>-81.666</v>
      </c>
      <c r="CZ118" s="172">
        <f>CZ163</f>
        <v>34.706</v>
      </c>
      <c r="DA118" s="125">
        <f>DA163-CZ163</f>
        <v>-8.187</v>
      </c>
      <c r="DB118" s="125">
        <f>DB163-DA163</f>
        <v>-6.546</v>
      </c>
      <c r="DC118" s="125">
        <f>DC163-DB163</f>
        <v>71.19</v>
      </c>
      <c r="DD118" s="124">
        <f>SUM(CZ118:DC118)</f>
        <v>91.163</v>
      </c>
      <c r="DE118" s="172">
        <f>DE163</f>
        <v>10.462</v>
      </c>
      <c r="DF118" s="125">
        <f>DF163-DE163</f>
        <v>-23.178</v>
      </c>
      <c r="DG118" s="596">
        <v>0</v>
      </c>
      <c r="DH118" s="596">
        <v>0</v>
      </c>
      <c r="DI118" s="124">
        <f>SUM(DE118:DH118)</f>
        <v>-12.716</v>
      </c>
      <c r="DJ118" s="596">
        <v>0</v>
      </c>
      <c r="DK118" s="596">
        <v>0</v>
      </c>
      <c r="DL118" s="596">
        <v>0</v>
      </c>
      <c r="DM118" s="596">
        <v>0</v>
      </c>
      <c r="DN118" s="124">
        <f>SUM(DJ118:DM118)</f>
        <v>0</v>
      </c>
      <c r="DO118" s="596">
        <v>0</v>
      </c>
      <c r="DP118" s="596">
        <v>0</v>
      </c>
      <c r="DQ118" s="596">
        <v>0</v>
      </c>
      <c r="DR118" s="596">
        <v>0</v>
      </c>
      <c r="DS118" s="124">
        <f>SUM(DO118:DR118)</f>
        <v>0</v>
      </c>
    </row>
    <row r="119" spans="1:123">
      <c r="B119" s="198"/>
      <c r="C119" s="124"/>
      <c r="H119" s="124"/>
      <c r="M119" s="124"/>
      <c r="R119" s="124"/>
      <c r="W119" s="124"/>
      <c r="AB119" s="124"/>
      <c r="AG119" s="124"/>
      <c r="AL119" s="124"/>
      <c r="AQ119" s="124"/>
      <c r="AV119" s="124"/>
      <c r="BA119" s="124"/>
      <c r="BF119" s="124"/>
      <c r="BK119" s="124"/>
      <c r="BP119" s="124"/>
      <c r="BU119" s="124"/>
      <c r="BZ119" s="124"/>
      <c r="CE119" s="124"/>
      <c r="CJ119" s="124"/>
      <c r="CO119" s="124"/>
      <c r="CT119" s="124"/>
      <c r="CY119" s="124"/>
      <c r="DD119" s="124"/>
      <c r="DI119" s="124"/>
      <c r="DN119" s="124"/>
      <c r="DS119" s="124"/>
    </row>
    <row r="120" s="3" customFormat="1" spans="1:123">
      <c r="A120" s="132"/>
      <c r="B120" s="597" t="s">
        <v>121</v>
      </c>
      <c r="C120" s="598"/>
      <c r="D120" s="599"/>
      <c r="E120" s="599"/>
      <c r="F120" s="599"/>
      <c r="G120" s="599"/>
      <c r="H120" s="598"/>
      <c r="I120" s="599"/>
      <c r="J120" s="599"/>
      <c r="K120" s="599"/>
      <c r="L120" s="599"/>
      <c r="M120" s="598">
        <f>M118+M117+M109+M103</f>
        <v>11.6168201</v>
      </c>
      <c r="N120" s="599"/>
      <c r="O120" s="599"/>
      <c r="P120" s="599"/>
      <c r="Q120" s="599"/>
      <c r="R120" s="598">
        <f>R118+R117+R109+R103</f>
        <v>37.310838</v>
      </c>
      <c r="S120" s="599"/>
      <c r="T120" s="599"/>
      <c r="U120" s="599"/>
      <c r="V120" s="599"/>
      <c r="W120" s="598">
        <f>W118+W117+W109+W103</f>
        <v>3.45200999999999</v>
      </c>
      <c r="X120" s="599"/>
      <c r="Y120" s="599"/>
      <c r="Z120" s="599"/>
      <c r="AA120" s="599"/>
      <c r="AB120" s="598">
        <f>AB118+AB117+AB109+AB103</f>
        <v>102.776</v>
      </c>
      <c r="AC120" s="599"/>
      <c r="AD120" s="599"/>
      <c r="AE120" s="599"/>
      <c r="AF120" s="599"/>
      <c r="AG120" s="598">
        <f t="shared" ref="AG120:BZ120" si="355">AG118+AG117+AG109+AG103</f>
        <v>156.713</v>
      </c>
      <c r="AH120" s="599">
        <f t="shared" si="355"/>
        <v>-55.415</v>
      </c>
      <c r="AI120" s="599">
        <f t="shared" si="355"/>
        <v>3.85700000000002</v>
      </c>
      <c r="AJ120" s="599">
        <f t="shared" si="355"/>
        <v>12.217</v>
      </c>
      <c r="AK120" s="599">
        <f t="shared" si="355"/>
        <v>132.492</v>
      </c>
      <c r="AL120" s="598">
        <f t="shared" si="355"/>
        <v>93.151</v>
      </c>
      <c r="AM120" s="599">
        <f t="shared" si="355"/>
        <v>14.893</v>
      </c>
      <c r="AN120" s="599">
        <f t="shared" si="355"/>
        <v>19.956</v>
      </c>
      <c r="AO120" s="599">
        <f t="shared" si="355"/>
        <v>-4.86299999999994</v>
      </c>
      <c r="AP120" s="599">
        <f t="shared" si="355"/>
        <v>150.756</v>
      </c>
      <c r="AQ120" s="598">
        <f t="shared" si="355"/>
        <v>180.742</v>
      </c>
      <c r="AR120" s="599">
        <f t="shared" si="355"/>
        <v>-1.76099999999995</v>
      </c>
      <c r="AS120" s="599">
        <f t="shared" si="355"/>
        <v>21.856</v>
      </c>
      <c r="AT120" s="599">
        <f t="shared" si="355"/>
        <v>-9.52800000000001</v>
      </c>
      <c r="AU120" s="599">
        <f t="shared" si="355"/>
        <v>97.9030000000001</v>
      </c>
      <c r="AV120" s="598">
        <f t="shared" si="355"/>
        <v>108.47</v>
      </c>
      <c r="AW120" s="599">
        <f t="shared" si="355"/>
        <v>53.31</v>
      </c>
      <c r="AX120" s="599">
        <f t="shared" si="355"/>
        <v>-26.906</v>
      </c>
      <c r="AY120" s="599">
        <f t="shared" si="355"/>
        <v>-91.519</v>
      </c>
      <c r="AZ120" s="599">
        <f t="shared" si="355"/>
        <v>30.897</v>
      </c>
      <c r="BA120" s="598">
        <f t="shared" si="355"/>
        <v>-34.1699999999999</v>
      </c>
      <c r="BB120" s="599">
        <f t="shared" si="355"/>
        <v>-8.59799999999997</v>
      </c>
      <c r="BC120" s="599">
        <f t="shared" si="355"/>
        <v>-114.619</v>
      </c>
      <c r="BD120" s="599">
        <f t="shared" si="355"/>
        <v>-137.823</v>
      </c>
      <c r="BE120" s="599">
        <f t="shared" si="355"/>
        <v>98.0360000000001</v>
      </c>
      <c r="BF120" s="598">
        <f t="shared" si="355"/>
        <v>-162.997</v>
      </c>
      <c r="BG120" s="599">
        <f t="shared" si="355"/>
        <v>48.564</v>
      </c>
      <c r="BH120" s="599">
        <f t="shared" si="355"/>
        <v>-14.696</v>
      </c>
      <c r="BI120" s="599">
        <f t="shared" si="355"/>
        <v>-54.964</v>
      </c>
      <c r="BJ120" s="599">
        <f t="shared" si="355"/>
        <v>254.467583385339</v>
      </c>
      <c r="BK120" s="598">
        <f t="shared" si="355"/>
        <v>233.364</v>
      </c>
      <c r="BL120" s="599">
        <f t="shared" si="355"/>
        <v>-36.557</v>
      </c>
      <c r="BM120" s="599">
        <f t="shared" si="355"/>
        <v>22.9230000000001</v>
      </c>
      <c r="BN120" s="599">
        <f t="shared" si="355"/>
        <v>-71.1419999999999</v>
      </c>
      <c r="BO120" s="599">
        <f t="shared" si="355"/>
        <v>340.447</v>
      </c>
      <c r="BP120" s="598">
        <f t="shared" si="355"/>
        <v>255.654</v>
      </c>
      <c r="BQ120" s="599">
        <f t="shared" si="355"/>
        <v>-23.93</v>
      </c>
      <c r="BR120" s="599">
        <f t="shared" si="355"/>
        <v>-188.73</v>
      </c>
      <c r="BS120" s="599">
        <f t="shared" ref="BS120:BX120" si="356">BS118+BS117+BS109+BS103</f>
        <v>-74.234</v>
      </c>
      <c r="BT120" s="599">
        <f t="shared" si="356"/>
        <v>177.713</v>
      </c>
      <c r="BU120" s="598">
        <f t="shared" si="356"/>
        <v>-109.181</v>
      </c>
      <c r="BV120" s="599">
        <f t="shared" si="356"/>
        <v>-305.079</v>
      </c>
      <c r="BW120" s="599">
        <f t="shared" si="356"/>
        <v>47.497</v>
      </c>
      <c r="BX120" s="599">
        <f t="shared" si="356"/>
        <v>-37.585</v>
      </c>
      <c r="BY120" s="599">
        <f t="shared" si="355"/>
        <v>507.352</v>
      </c>
      <c r="BZ120" s="598">
        <f t="shared" si="355"/>
        <v>212.185</v>
      </c>
      <c r="CA120" s="599">
        <f t="shared" ref="CA120:CO120" si="357">CA118+CA117+CA109+CA103</f>
        <v>-270.499</v>
      </c>
      <c r="CB120" s="599">
        <f t="shared" si="357"/>
        <v>-300.008</v>
      </c>
      <c r="CC120" s="599">
        <f t="shared" ref="CC120:CI120" si="358">CC118+CC117+CC109+CC103</f>
        <v>-41.4170000000001</v>
      </c>
      <c r="CD120" s="599">
        <f t="shared" si="358"/>
        <v>668.936</v>
      </c>
      <c r="CE120" s="598">
        <f t="shared" si="358"/>
        <v>57.0120000000003</v>
      </c>
      <c r="CF120" s="599">
        <f t="shared" si="358"/>
        <v>29.222</v>
      </c>
      <c r="CG120" s="599">
        <f t="shared" si="358"/>
        <v>-9.69800000000009</v>
      </c>
      <c r="CH120" s="599">
        <f t="shared" si="358"/>
        <v>-176.45</v>
      </c>
      <c r="CI120" s="599">
        <f t="shared" si="358"/>
        <v>266.28</v>
      </c>
      <c r="CJ120" s="598">
        <f t="shared" si="357"/>
        <v>109.354</v>
      </c>
      <c r="CK120" s="599">
        <f t="shared" si="357"/>
        <v>-610.855</v>
      </c>
      <c r="CL120" s="599">
        <f t="shared" si="357"/>
        <v>-150.185</v>
      </c>
      <c r="CM120" s="599">
        <f t="shared" si="357"/>
        <v>-146.207</v>
      </c>
      <c r="CN120" s="599">
        <f t="shared" si="357"/>
        <v>802.243</v>
      </c>
      <c r="CO120" s="598">
        <f t="shared" si="357"/>
        <v>-105.004</v>
      </c>
      <c r="CP120" s="599">
        <f t="shared" ref="CP120:DI120" si="359">CP118+CP117+CP109+CP103</f>
        <v>-204.26</v>
      </c>
      <c r="CQ120" s="599">
        <f t="shared" si="359"/>
        <v>156.923</v>
      </c>
      <c r="CR120" s="599">
        <f t="shared" si="359"/>
        <v>-16.3920000000002</v>
      </c>
      <c r="CS120" s="599">
        <f t="shared" si="359"/>
        <v>1152.833</v>
      </c>
      <c r="CT120" s="598">
        <f t="shared" si="359"/>
        <v>1089.104</v>
      </c>
      <c r="CU120" s="599">
        <f t="shared" si="359"/>
        <v>-343.299</v>
      </c>
      <c r="CV120" s="599">
        <f t="shared" si="359"/>
        <v>-290.56</v>
      </c>
      <c r="CW120" s="599">
        <f t="shared" ref="CW120:CX120" si="360">CW118+CW117+CW109+CW103</f>
        <v>-421.693</v>
      </c>
      <c r="CX120" s="599">
        <f t="shared" si="360"/>
        <v>795.917</v>
      </c>
      <c r="CY120" s="598">
        <f t="shared" si="359"/>
        <v>-259.635</v>
      </c>
      <c r="CZ120" s="599">
        <f t="shared" ref="CZ120:DC120" si="361">CZ118+CZ117+CZ109+CZ103</f>
        <v>-659.064</v>
      </c>
      <c r="DA120" s="599">
        <f t="shared" si="361"/>
        <v>-169.478</v>
      </c>
      <c r="DB120" s="599">
        <f t="shared" si="361"/>
        <v>-119.962</v>
      </c>
      <c r="DC120" s="599">
        <f t="shared" si="361"/>
        <v>771.37</v>
      </c>
      <c r="DD120" s="598">
        <f t="shared" si="359"/>
        <v>-177.133999999999</v>
      </c>
      <c r="DE120" s="599">
        <f t="shared" si="359"/>
        <v>-292.473</v>
      </c>
      <c r="DF120" s="599">
        <f t="shared" si="359"/>
        <v>-124.992</v>
      </c>
      <c r="DG120" s="599">
        <f t="shared" si="359"/>
        <v>-618.48137050483</v>
      </c>
      <c r="DH120" s="599">
        <f t="shared" si="359"/>
        <v>449.082857556066</v>
      </c>
      <c r="DI120" s="598">
        <f t="shared" si="359"/>
        <v>-586.863512948764</v>
      </c>
      <c r="DJ120" s="599">
        <f t="shared" ref="DJ120:DN120" si="362">DJ118+DJ117+DJ109+DJ103</f>
        <v>126.073149034158</v>
      </c>
      <c r="DK120" s="599">
        <f t="shared" si="362"/>
        <v>10.1381105291429</v>
      </c>
      <c r="DL120" s="599">
        <f t="shared" si="362"/>
        <v>-502.076665030646</v>
      </c>
      <c r="DM120" s="599">
        <f t="shared" si="362"/>
        <v>586.028553058786</v>
      </c>
      <c r="DN120" s="598">
        <f t="shared" si="362"/>
        <v>220.163147591439</v>
      </c>
      <c r="DO120" s="599">
        <f t="shared" ref="DO120:DS120" si="363">DO118+DO117+DO109+DO103</f>
        <v>109.93711068711</v>
      </c>
      <c r="DP120" s="599">
        <f t="shared" si="363"/>
        <v>36.5621787396275</v>
      </c>
      <c r="DQ120" s="599">
        <f t="shared" si="363"/>
        <v>-513.067239080383</v>
      </c>
      <c r="DR120" s="599">
        <f t="shared" si="363"/>
        <v>575.123420979841</v>
      </c>
      <c r="DS120" s="598">
        <f t="shared" si="363"/>
        <v>208.555471326197</v>
      </c>
    </row>
    <row r="121" spans="1:123">
      <c r="B121" s="198"/>
      <c r="C121" s="124"/>
      <c r="H121" s="124"/>
      <c r="M121" s="124"/>
      <c r="R121" s="124"/>
      <c r="W121" s="124"/>
      <c r="AB121" s="124"/>
      <c r="AG121" s="124"/>
      <c r="AL121" s="124"/>
      <c r="AQ121" s="124"/>
      <c r="AV121" s="124"/>
      <c r="BA121" s="124"/>
      <c r="BF121" s="124"/>
      <c r="BK121" s="124"/>
      <c r="BO121" s="172"/>
      <c r="BP121" s="124"/>
      <c r="BT121" s="172"/>
      <c r="BU121" s="124"/>
      <c r="BZ121" s="124"/>
      <c r="CE121" s="124"/>
      <c r="CJ121" s="124"/>
      <c r="CO121" s="124"/>
      <c r="CT121" s="124"/>
      <c r="CY121" s="124"/>
      <c r="DD121" s="124"/>
      <c r="DI121" s="124"/>
      <c r="DN121" s="124"/>
      <c r="DS121" s="124"/>
    </row>
    <row r="122" s="88" customFormat="1" spans="1:123">
      <c r="A122" s="125"/>
      <c r="B122" s="198" t="s">
        <v>122</v>
      </c>
      <c r="C122" s="124"/>
      <c r="D122" s="125"/>
      <c r="E122" s="125"/>
      <c r="F122" s="125"/>
      <c r="G122" s="125"/>
      <c r="H122" s="124"/>
      <c r="I122" s="125"/>
      <c r="J122" s="125"/>
      <c r="K122" s="125"/>
      <c r="L122" s="125"/>
      <c r="M122" s="124">
        <f t="shared" si="315"/>
        <v>3.8770179</v>
      </c>
      <c r="N122" s="125"/>
      <c r="O122" s="125"/>
      <c r="P122" s="125"/>
      <c r="Q122" s="125"/>
      <c r="R122" s="124">
        <f>M173</f>
        <v>16.028534</v>
      </c>
      <c r="S122" s="125"/>
      <c r="T122" s="125"/>
      <c r="U122" s="125"/>
      <c r="V122" s="125"/>
      <c r="W122" s="124">
        <f>R173</f>
        <v>53.339326</v>
      </c>
      <c r="X122" s="125"/>
      <c r="Y122" s="125"/>
      <c r="Z122" s="125"/>
      <c r="AA122" s="125"/>
      <c r="AB122" s="124">
        <f>W173</f>
        <v>56.797</v>
      </c>
      <c r="AC122" s="125"/>
      <c r="AD122" s="125"/>
      <c r="AE122" s="125"/>
      <c r="AF122" s="125"/>
      <c r="AG122" s="124">
        <f>AB173</f>
        <v>159.573</v>
      </c>
      <c r="AH122" s="125">
        <f>AG173</f>
        <v>316.286</v>
      </c>
      <c r="AI122" s="125">
        <f>AH173</f>
        <v>260.871</v>
      </c>
      <c r="AJ122" s="125">
        <f>AI173</f>
        <v>264.728</v>
      </c>
      <c r="AK122" s="125">
        <f>AJ173</f>
        <v>276.946</v>
      </c>
      <c r="AL122" s="124">
        <f>AG173</f>
        <v>316.286</v>
      </c>
      <c r="AM122" s="125">
        <f>AL173</f>
        <v>409.437</v>
      </c>
      <c r="AN122" s="125">
        <f>AM173</f>
        <v>424.33</v>
      </c>
      <c r="AO122" s="125">
        <f>AN173</f>
        <v>444.286</v>
      </c>
      <c r="AP122" s="125">
        <f>AO173</f>
        <v>439.423</v>
      </c>
      <c r="AQ122" s="124">
        <f>AL173</f>
        <v>409.437</v>
      </c>
      <c r="AR122" s="125">
        <f>AQ173</f>
        <v>590.179</v>
      </c>
      <c r="AS122" s="125">
        <f>AR173</f>
        <v>588.418</v>
      </c>
      <c r="AT122" s="125">
        <f>AS173</f>
        <v>610.273</v>
      </c>
      <c r="AU122" s="125">
        <f>AT173</f>
        <v>600.745</v>
      </c>
      <c r="AV122" s="124">
        <f>AQ173</f>
        <v>590.179</v>
      </c>
      <c r="AW122" s="125">
        <f>AV173</f>
        <v>698.649</v>
      </c>
      <c r="AX122" s="125">
        <f>AW173</f>
        <v>751.965</v>
      </c>
      <c r="AY122" s="125">
        <f>AX173</f>
        <v>725.073</v>
      </c>
      <c r="AZ122" s="125">
        <f>AY173</f>
        <v>633.582</v>
      </c>
      <c r="BA122" s="124">
        <f>AV173</f>
        <v>698.649</v>
      </c>
      <c r="BB122" s="125">
        <f>BA173</f>
        <v>664.479</v>
      </c>
      <c r="BC122" s="125">
        <f>BB173</f>
        <v>655.881</v>
      </c>
      <c r="BD122" s="125">
        <f>BC173</f>
        <v>541.262</v>
      </c>
      <c r="BE122" s="125">
        <f>BD173</f>
        <v>403.446</v>
      </c>
      <c r="BF122" s="124">
        <f>BA173</f>
        <v>664.479</v>
      </c>
      <c r="BG122" s="125">
        <f>BF173</f>
        <v>501.482</v>
      </c>
      <c r="BH122" s="125">
        <f>BG173</f>
        <v>550.046</v>
      </c>
      <c r="BI122" s="125">
        <f>BH173</f>
        <v>535.35</v>
      </c>
      <c r="BJ122" s="125">
        <f>BI173</f>
        <v>480.386</v>
      </c>
      <c r="BK122" s="124">
        <f>BF173</f>
        <v>501.482</v>
      </c>
      <c r="BL122" s="125">
        <f>BK173</f>
        <v>734.846</v>
      </c>
      <c r="BM122" s="125">
        <f>BL173</f>
        <v>698.289</v>
      </c>
      <c r="BN122" s="125">
        <f>BM173</f>
        <v>721.212</v>
      </c>
      <c r="BO122" s="125">
        <f>BN173</f>
        <v>650.054</v>
      </c>
      <c r="BP122" s="124">
        <f>BK173</f>
        <v>734.846</v>
      </c>
      <c r="BQ122" s="125">
        <f>BP173</f>
        <v>990.501</v>
      </c>
      <c r="BR122" s="125">
        <f>BQ173</f>
        <v>966.571</v>
      </c>
      <c r="BS122" s="125">
        <f>BR173</f>
        <v>777.841</v>
      </c>
      <c r="BT122" s="125">
        <f>BS173</f>
        <v>703.607</v>
      </c>
      <c r="BU122" s="124">
        <f>BP173</f>
        <v>990.501</v>
      </c>
      <c r="BV122" s="125">
        <f>BU173</f>
        <v>881.32</v>
      </c>
      <c r="BW122" s="125">
        <f>BV173</f>
        <v>576.241</v>
      </c>
      <c r="BX122" s="125">
        <f>BW173</f>
        <v>623.738</v>
      </c>
      <c r="BY122" s="125">
        <f>BX173</f>
        <v>586.153</v>
      </c>
      <c r="BZ122" s="124">
        <f>BU173</f>
        <v>881.32</v>
      </c>
      <c r="CA122" s="125">
        <f>BZ173</f>
        <v>1093.505</v>
      </c>
      <c r="CB122" s="125">
        <f>CA173</f>
        <v>823.006</v>
      </c>
      <c r="CC122" s="125">
        <f>CB173</f>
        <v>522.998</v>
      </c>
      <c r="CD122" s="125">
        <f>CC173</f>
        <v>481.581</v>
      </c>
      <c r="CE122" s="124">
        <f>BZ173</f>
        <v>1093.505</v>
      </c>
      <c r="CF122" s="125">
        <f>CE173</f>
        <v>1150.517</v>
      </c>
      <c r="CG122" s="125">
        <f>CF173</f>
        <v>1179.739</v>
      </c>
      <c r="CH122" s="125">
        <f>CG173</f>
        <v>1170.041</v>
      </c>
      <c r="CI122" s="125">
        <f>CH173</f>
        <v>993.591</v>
      </c>
      <c r="CJ122" s="124">
        <f>CE173</f>
        <v>1150.517</v>
      </c>
      <c r="CK122" s="125">
        <f>CJ173</f>
        <v>1259.871</v>
      </c>
      <c r="CL122" s="125">
        <f>CK173</f>
        <v>649.016</v>
      </c>
      <c r="CM122" s="125">
        <f>CL173</f>
        <v>498.831</v>
      </c>
      <c r="CN122" s="125">
        <f>CM173</f>
        <v>352.624</v>
      </c>
      <c r="CO122" s="124">
        <f>CJ173</f>
        <v>1259.871</v>
      </c>
      <c r="CP122" s="125">
        <f>CO173</f>
        <v>1154.867</v>
      </c>
      <c r="CQ122" s="125">
        <f>CP173</f>
        <v>950.607</v>
      </c>
      <c r="CR122" s="125">
        <f>CQ173</f>
        <v>1107.53</v>
      </c>
      <c r="CS122" s="125">
        <f>CR173</f>
        <v>1091.138</v>
      </c>
      <c r="CT122" s="124">
        <f>CO173</f>
        <v>1154.867</v>
      </c>
      <c r="CU122" s="125">
        <f>CT173</f>
        <v>2243.971</v>
      </c>
      <c r="CV122" s="125">
        <f>CU173</f>
        <v>1900.672</v>
      </c>
      <c r="CW122" s="125">
        <f>CV173</f>
        <v>1610.112</v>
      </c>
      <c r="CX122" s="125">
        <f>CW173</f>
        <v>1188.419</v>
      </c>
      <c r="CY122" s="124">
        <f>CT173</f>
        <v>2243.971</v>
      </c>
      <c r="CZ122" s="125">
        <f>CY173</f>
        <v>1984.336</v>
      </c>
      <c r="DA122" s="125">
        <f>CZ173</f>
        <v>1325.272</v>
      </c>
      <c r="DB122" s="125">
        <f>DA173</f>
        <v>1155.794</v>
      </c>
      <c r="DC122" s="125">
        <f>DB173</f>
        <v>1035.862</v>
      </c>
      <c r="DD122" s="124">
        <f>CY173</f>
        <v>1984.336</v>
      </c>
      <c r="DE122" s="125">
        <f>DD173</f>
        <v>1807.202</v>
      </c>
      <c r="DF122" s="125">
        <f>DE173</f>
        <v>1514.729</v>
      </c>
      <c r="DG122" s="125">
        <f>DF173</f>
        <v>1389.737</v>
      </c>
      <c r="DH122" s="125">
        <f>DG173</f>
        <v>771.25562949517</v>
      </c>
      <c r="DI122" s="124">
        <f>DD173</f>
        <v>1807.202</v>
      </c>
      <c r="DJ122" s="125">
        <f>DI173</f>
        <v>1220.33848705124</v>
      </c>
      <c r="DK122" s="125">
        <f>DJ173</f>
        <v>1346.41163608539</v>
      </c>
      <c r="DL122" s="125">
        <f>DK173</f>
        <v>1356.54974661454</v>
      </c>
      <c r="DM122" s="125">
        <f>DL173</f>
        <v>854.47308158389</v>
      </c>
      <c r="DN122" s="124">
        <f>DI173</f>
        <v>1220.33848705124</v>
      </c>
      <c r="DO122" s="125">
        <f>DN173</f>
        <v>1440.50163464268</v>
      </c>
      <c r="DP122" s="125">
        <f>DO173</f>
        <v>1550.43874532979</v>
      </c>
      <c r="DQ122" s="125">
        <f>DP173</f>
        <v>1587.00092406941</v>
      </c>
      <c r="DR122" s="125">
        <f>DQ173</f>
        <v>1073.93368498903</v>
      </c>
      <c r="DS122" s="124">
        <f>DN173</f>
        <v>1440.50163464268</v>
      </c>
    </row>
    <row r="123" s="88" customFormat="1" spans="1:123">
      <c r="A123" s="125"/>
      <c r="B123" s="198" t="s">
        <v>123</v>
      </c>
      <c r="C123" s="124"/>
      <c r="D123" s="125"/>
      <c r="E123" s="125"/>
      <c r="F123" s="125"/>
      <c r="G123" s="125"/>
      <c r="H123" s="124"/>
      <c r="I123" s="125"/>
      <c r="J123" s="125"/>
      <c r="K123" s="125"/>
      <c r="L123" s="125"/>
      <c r="M123" s="124">
        <f t="shared" si="315"/>
        <v>16.028534</v>
      </c>
      <c r="N123" s="125"/>
      <c r="O123" s="125"/>
      <c r="P123" s="125"/>
      <c r="Q123" s="125"/>
      <c r="R123" s="124">
        <f>R120+R122</f>
        <v>53.339372</v>
      </c>
      <c r="S123" s="125"/>
      <c r="T123" s="125"/>
      <c r="U123" s="125"/>
      <c r="V123" s="125"/>
      <c r="W123" s="124">
        <f>W120+W122</f>
        <v>56.791336</v>
      </c>
      <c r="X123" s="125"/>
      <c r="Y123" s="125"/>
      <c r="Z123" s="125"/>
      <c r="AA123" s="125"/>
      <c r="AB123" s="124">
        <f>AB120+AB122</f>
        <v>159.573</v>
      </c>
      <c r="AC123" s="125"/>
      <c r="AD123" s="125"/>
      <c r="AE123" s="125"/>
      <c r="AF123" s="125"/>
      <c r="AG123" s="124">
        <f t="shared" ref="AG123:BL123" si="364">AG120+AG122</f>
        <v>316.286</v>
      </c>
      <c r="AH123" s="125">
        <f t="shared" si="364"/>
        <v>260.871</v>
      </c>
      <c r="AI123" s="125">
        <f t="shared" si="364"/>
        <v>264.728</v>
      </c>
      <c r="AJ123" s="125">
        <f t="shared" si="364"/>
        <v>276.945</v>
      </c>
      <c r="AK123" s="125">
        <f t="shared" si="364"/>
        <v>409.438</v>
      </c>
      <c r="AL123" s="124">
        <f t="shared" si="364"/>
        <v>409.437</v>
      </c>
      <c r="AM123" s="125">
        <f t="shared" si="364"/>
        <v>424.33</v>
      </c>
      <c r="AN123" s="125">
        <f t="shared" si="364"/>
        <v>444.286</v>
      </c>
      <c r="AO123" s="125">
        <f t="shared" si="364"/>
        <v>439.423</v>
      </c>
      <c r="AP123" s="125">
        <f t="shared" si="364"/>
        <v>590.179</v>
      </c>
      <c r="AQ123" s="124">
        <f t="shared" si="364"/>
        <v>590.179</v>
      </c>
      <c r="AR123" s="125">
        <f t="shared" si="364"/>
        <v>588.418</v>
      </c>
      <c r="AS123" s="125">
        <f t="shared" si="364"/>
        <v>610.274</v>
      </c>
      <c r="AT123" s="125">
        <f t="shared" si="364"/>
        <v>600.745</v>
      </c>
      <c r="AU123" s="125">
        <f t="shared" si="364"/>
        <v>698.648</v>
      </c>
      <c r="AV123" s="124">
        <f t="shared" si="364"/>
        <v>698.649</v>
      </c>
      <c r="AW123" s="125">
        <f t="shared" si="364"/>
        <v>751.959</v>
      </c>
      <c r="AX123" s="125">
        <f t="shared" si="364"/>
        <v>725.059</v>
      </c>
      <c r="AY123" s="125">
        <f t="shared" si="364"/>
        <v>633.554</v>
      </c>
      <c r="AZ123" s="125">
        <f t="shared" si="364"/>
        <v>664.479</v>
      </c>
      <c r="BA123" s="124">
        <f t="shared" si="364"/>
        <v>664.479</v>
      </c>
      <c r="BB123" s="125">
        <f t="shared" si="364"/>
        <v>655.881</v>
      </c>
      <c r="BC123" s="125">
        <f t="shared" si="364"/>
        <v>541.262</v>
      </c>
      <c r="BD123" s="125">
        <f t="shared" si="364"/>
        <v>403.439</v>
      </c>
      <c r="BE123" s="125">
        <f t="shared" si="364"/>
        <v>501.482</v>
      </c>
      <c r="BF123" s="124">
        <f t="shared" si="364"/>
        <v>501.482</v>
      </c>
      <c r="BG123" s="125">
        <f t="shared" si="364"/>
        <v>550.046</v>
      </c>
      <c r="BH123" s="125">
        <f t="shared" si="364"/>
        <v>535.35</v>
      </c>
      <c r="BI123" s="125">
        <f t="shared" si="364"/>
        <v>480.386</v>
      </c>
      <c r="BJ123" s="125">
        <f t="shared" si="364"/>
        <v>734.853583385339</v>
      </c>
      <c r="BK123" s="124">
        <f t="shared" si="364"/>
        <v>734.846</v>
      </c>
      <c r="BL123" s="125">
        <f t="shared" si="364"/>
        <v>698.289</v>
      </c>
      <c r="BM123" s="125">
        <f t="shared" ref="BM123:CO123" si="365">BM120+BM122</f>
        <v>721.212</v>
      </c>
      <c r="BN123" s="125">
        <f t="shared" si="365"/>
        <v>650.07</v>
      </c>
      <c r="BO123" s="125">
        <f t="shared" si="365"/>
        <v>990.501</v>
      </c>
      <c r="BP123" s="124">
        <f t="shared" si="365"/>
        <v>990.5</v>
      </c>
      <c r="BQ123" s="125">
        <f t="shared" si="365"/>
        <v>966.571</v>
      </c>
      <c r="BR123" s="125">
        <f t="shared" si="365"/>
        <v>777.841</v>
      </c>
      <c r="BS123" s="125">
        <f t="shared" si="365"/>
        <v>703.607</v>
      </c>
      <c r="BT123" s="125">
        <f t="shared" si="365"/>
        <v>881.32</v>
      </c>
      <c r="BU123" s="124">
        <f t="shared" si="365"/>
        <v>881.32</v>
      </c>
      <c r="BV123" s="125">
        <f t="shared" si="365"/>
        <v>576.241</v>
      </c>
      <c r="BW123" s="125">
        <f t="shared" si="365"/>
        <v>623.738</v>
      </c>
      <c r="BX123" s="125">
        <f t="shared" si="365"/>
        <v>586.153</v>
      </c>
      <c r="BY123" s="125">
        <f t="shared" si="365"/>
        <v>1093.505</v>
      </c>
      <c r="BZ123" s="124">
        <f t="shared" si="365"/>
        <v>1093.505</v>
      </c>
      <c r="CA123" s="125">
        <f t="shared" si="365"/>
        <v>823.006</v>
      </c>
      <c r="CB123" s="125">
        <f t="shared" ref="CB123:CI123" si="366">CB120+CB122</f>
        <v>522.998</v>
      </c>
      <c r="CC123" s="125">
        <f t="shared" si="366"/>
        <v>481.581</v>
      </c>
      <c r="CD123" s="125">
        <f t="shared" si="366"/>
        <v>1150.517</v>
      </c>
      <c r="CE123" s="124">
        <f t="shared" si="366"/>
        <v>1150.517</v>
      </c>
      <c r="CF123" s="125">
        <f t="shared" si="366"/>
        <v>1179.739</v>
      </c>
      <c r="CG123" s="125">
        <f t="shared" si="366"/>
        <v>1170.041</v>
      </c>
      <c r="CH123" s="125">
        <f t="shared" si="366"/>
        <v>993.591</v>
      </c>
      <c r="CI123" s="125">
        <f t="shared" si="366"/>
        <v>1259.871</v>
      </c>
      <c r="CJ123" s="124">
        <f t="shared" si="365"/>
        <v>1259.871</v>
      </c>
      <c r="CK123" s="125">
        <f t="shared" si="365"/>
        <v>649.016</v>
      </c>
      <c r="CL123" s="125">
        <f t="shared" si="365"/>
        <v>498.831</v>
      </c>
      <c r="CM123" s="125">
        <f t="shared" si="365"/>
        <v>352.624</v>
      </c>
      <c r="CN123" s="125">
        <f t="shared" si="365"/>
        <v>1154.867</v>
      </c>
      <c r="CO123" s="124">
        <f t="shared" si="365"/>
        <v>1154.867</v>
      </c>
      <c r="CP123" s="125">
        <f t="shared" ref="CP123:DI123" si="367">CP120+CP122</f>
        <v>950.607</v>
      </c>
      <c r="CQ123" s="125">
        <f t="shared" si="367"/>
        <v>1107.53</v>
      </c>
      <c r="CR123" s="125">
        <f t="shared" si="367"/>
        <v>1091.138</v>
      </c>
      <c r="CS123" s="125">
        <f t="shared" si="367"/>
        <v>2243.971</v>
      </c>
      <c r="CT123" s="124">
        <f t="shared" si="367"/>
        <v>2243.971</v>
      </c>
      <c r="CU123" s="125">
        <f t="shared" si="367"/>
        <v>1900.672</v>
      </c>
      <c r="CV123" s="125">
        <f t="shared" si="367"/>
        <v>1610.112</v>
      </c>
      <c r="CW123" s="125">
        <f t="shared" ref="CW123:CY123" si="368">CW120+CW122</f>
        <v>1188.419</v>
      </c>
      <c r="CX123" s="125">
        <f t="shared" si="368"/>
        <v>1984.336</v>
      </c>
      <c r="CY123" s="124">
        <f t="shared" si="368"/>
        <v>1984.336</v>
      </c>
      <c r="CZ123" s="125">
        <f t="shared" ref="CZ123:DC123" si="369">CZ120+CZ122</f>
        <v>1325.272</v>
      </c>
      <c r="DA123" s="125">
        <f t="shared" si="369"/>
        <v>1155.794</v>
      </c>
      <c r="DB123" s="125">
        <f t="shared" si="369"/>
        <v>1035.832</v>
      </c>
      <c r="DC123" s="125">
        <f t="shared" si="369"/>
        <v>1807.232</v>
      </c>
      <c r="DD123" s="124">
        <f t="shared" si="367"/>
        <v>1807.202</v>
      </c>
      <c r="DE123" s="125">
        <f t="shared" si="367"/>
        <v>1514.729</v>
      </c>
      <c r="DF123" s="125">
        <f t="shared" si="367"/>
        <v>1389.737</v>
      </c>
      <c r="DG123" s="125">
        <f t="shared" si="367"/>
        <v>771.25562949517</v>
      </c>
      <c r="DH123" s="125">
        <f t="shared" si="367"/>
        <v>1220.33848705124</v>
      </c>
      <c r="DI123" s="124">
        <f t="shared" si="367"/>
        <v>1220.33848705124</v>
      </c>
      <c r="DJ123" s="125">
        <f t="shared" ref="DJ123:DN123" si="370">DJ120+DJ122</f>
        <v>1346.41163608539</v>
      </c>
      <c r="DK123" s="125">
        <f t="shared" si="370"/>
        <v>1356.54974661454</v>
      </c>
      <c r="DL123" s="125">
        <f t="shared" si="370"/>
        <v>854.47308158389</v>
      </c>
      <c r="DM123" s="125">
        <f t="shared" si="370"/>
        <v>1440.50163464268</v>
      </c>
      <c r="DN123" s="124">
        <f t="shared" si="370"/>
        <v>1440.50163464267</v>
      </c>
      <c r="DO123" s="125">
        <f t="shared" ref="DO123:DS123" si="371">DO120+DO122</f>
        <v>1550.43874532979</v>
      </c>
      <c r="DP123" s="125">
        <f t="shared" si="371"/>
        <v>1587.00092406941</v>
      </c>
      <c r="DQ123" s="125">
        <f t="shared" si="371"/>
        <v>1073.93368498903</v>
      </c>
      <c r="DR123" s="125">
        <f t="shared" si="371"/>
        <v>1649.05710596887</v>
      </c>
      <c r="DS123" s="124">
        <f t="shared" si="371"/>
        <v>1649.05710596887</v>
      </c>
    </row>
    <row r="124" s="485" customFormat="1" hidden="1" outlineLevel="1" spans="1:123">
      <c r="A124" s="169"/>
      <c r="B124" s="551" t="s">
        <v>124</v>
      </c>
      <c r="C124" s="170"/>
      <c r="D124" s="169"/>
      <c r="E124" s="169"/>
      <c r="F124" s="169"/>
      <c r="G124" s="169"/>
      <c r="H124" s="170"/>
      <c r="I124" s="169"/>
      <c r="J124" s="169"/>
      <c r="K124" s="169"/>
      <c r="L124" s="169"/>
      <c r="M124" s="170">
        <f>M173-M123</f>
        <v>0</v>
      </c>
      <c r="N124" s="169"/>
      <c r="O124" s="169"/>
      <c r="P124" s="169"/>
      <c r="Q124" s="169"/>
      <c r="R124" s="170">
        <f>R173-R123</f>
        <v>-4.60000000117589e-5</v>
      </c>
      <c r="S124" s="169"/>
      <c r="T124" s="169"/>
      <c r="U124" s="169"/>
      <c r="V124" s="169"/>
      <c r="W124" s="170">
        <f>W173-W123</f>
        <v>0.005664000000003</v>
      </c>
      <c r="X124" s="169"/>
      <c r="Y124" s="169"/>
      <c r="Z124" s="169"/>
      <c r="AA124" s="169"/>
      <c r="AB124" s="170">
        <f>AB173-AB123</f>
        <v>0</v>
      </c>
      <c r="AC124" s="169"/>
      <c r="AD124" s="169"/>
      <c r="AE124" s="169"/>
      <c r="AF124" s="169"/>
      <c r="AG124" s="170">
        <f t="shared" ref="AG124:BZ124" si="372">AG173-AG123</f>
        <v>0</v>
      </c>
      <c r="AH124" s="169">
        <f t="shared" si="372"/>
        <v>0</v>
      </c>
      <c r="AI124" s="169">
        <f t="shared" si="372"/>
        <v>0</v>
      </c>
      <c r="AJ124" s="169">
        <f t="shared" si="372"/>
        <v>0.0010000000000332</v>
      </c>
      <c r="AK124" s="169">
        <f t="shared" si="372"/>
        <v>-0.000999999999976353</v>
      </c>
      <c r="AL124" s="170">
        <f t="shared" si="372"/>
        <v>0</v>
      </c>
      <c r="AM124" s="169">
        <f t="shared" si="372"/>
        <v>0</v>
      </c>
      <c r="AN124" s="169">
        <f t="shared" si="372"/>
        <v>0</v>
      </c>
      <c r="AO124" s="169">
        <f t="shared" si="372"/>
        <v>0</v>
      </c>
      <c r="AP124" s="169">
        <f t="shared" si="372"/>
        <v>0</v>
      </c>
      <c r="AQ124" s="170">
        <f t="shared" si="372"/>
        <v>0</v>
      </c>
      <c r="AR124" s="169">
        <f t="shared" si="372"/>
        <v>0</v>
      </c>
      <c r="AS124" s="169">
        <f t="shared" si="372"/>
        <v>-0.000999999999976353</v>
      </c>
      <c r="AT124" s="169">
        <f t="shared" si="372"/>
        <v>0</v>
      </c>
      <c r="AU124" s="169">
        <f t="shared" si="372"/>
        <v>0.000999999999862666</v>
      </c>
      <c r="AV124" s="170">
        <f t="shared" si="372"/>
        <v>0</v>
      </c>
      <c r="AW124" s="169">
        <f t="shared" si="372"/>
        <v>0.00599999999997181</v>
      </c>
      <c r="AX124" s="169">
        <f t="shared" si="372"/>
        <v>0.0139999999998963</v>
      </c>
      <c r="AY124" s="169">
        <f t="shared" si="372"/>
        <v>0.02800000000002</v>
      </c>
      <c r="AZ124" s="169">
        <f t="shared" si="372"/>
        <v>0</v>
      </c>
      <c r="BA124" s="170">
        <f t="shared" si="372"/>
        <v>0</v>
      </c>
      <c r="BB124" s="169">
        <f t="shared" si="372"/>
        <v>0</v>
      </c>
      <c r="BC124" s="169">
        <f t="shared" si="372"/>
        <v>0</v>
      </c>
      <c r="BD124" s="169">
        <f t="shared" si="372"/>
        <v>0.00700000000006185</v>
      </c>
      <c r="BE124" s="169">
        <f t="shared" si="372"/>
        <v>0</v>
      </c>
      <c r="BF124" s="170">
        <f t="shared" si="372"/>
        <v>0</v>
      </c>
      <c r="BG124" s="169">
        <f t="shared" si="372"/>
        <v>0</v>
      </c>
      <c r="BH124" s="169">
        <f t="shared" si="372"/>
        <v>0</v>
      </c>
      <c r="BI124" s="169">
        <f t="shared" si="372"/>
        <v>0</v>
      </c>
      <c r="BJ124" s="169">
        <f t="shared" si="372"/>
        <v>-0.00758338533864844</v>
      </c>
      <c r="BK124" s="170">
        <f t="shared" si="372"/>
        <v>0</v>
      </c>
      <c r="BL124" s="169">
        <f t="shared" si="372"/>
        <v>0</v>
      </c>
      <c r="BM124" s="169">
        <f t="shared" si="372"/>
        <v>0</v>
      </c>
      <c r="BN124" s="169">
        <f t="shared" si="372"/>
        <v>-0.0160000000001901</v>
      </c>
      <c r="BO124" s="169">
        <f t="shared" si="372"/>
        <v>0</v>
      </c>
      <c r="BP124" s="170">
        <f t="shared" si="372"/>
        <v>0.000999999999748979</v>
      </c>
      <c r="BQ124" s="169">
        <f t="shared" si="372"/>
        <v>0</v>
      </c>
      <c r="BR124" s="169">
        <f t="shared" si="372"/>
        <v>0</v>
      </c>
      <c r="BS124" s="169">
        <f t="shared" ref="BS124:BX124" si="373">BS173-BS123</f>
        <v>0</v>
      </c>
      <c r="BT124" s="169">
        <f t="shared" si="373"/>
        <v>0</v>
      </c>
      <c r="BU124" s="170">
        <f t="shared" si="373"/>
        <v>0</v>
      </c>
      <c r="BV124" s="169">
        <f t="shared" si="373"/>
        <v>0</v>
      </c>
      <c r="BW124" s="169">
        <f t="shared" si="373"/>
        <v>0</v>
      </c>
      <c r="BX124" s="169">
        <f t="shared" si="373"/>
        <v>0</v>
      </c>
      <c r="BY124" s="169">
        <f t="shared" si="372"/>
        <v>0</v>
      </c>
      <c r="BZ124" s="170">
        <f t="shared" si="372"/>
        <v>0</v>
      </c>
      <c r="CA124" s="169">
        <f t="shared" ref="CA124:CO124" si="374">CA173-CA123</f>
        <v>0</v>
      </c>
      <c r="CB124" s="169">
        <f t="shared" si="374"/>
        <v>0</v>
      </c>
      <c r="CC124" s="169">
        <f t="shared" ref="CC124:CI124" si="375">CC173-CC123</f>
        <v>0</v>
      </c>
      <c r="CD124" s="169">
        <f t="shared" si="375"/>
        <v>0</v>
      </c>
      <c r="CE124" s="170">
        <f t="shared" si="375"/>
        <v>0</v>
      </c>
      <c r="CF124" s="169">
        <f t="shared" si="375"/>
        <v>0</v>
      </c>
      <c r="CG124" s="169">
        <f t="shared" si="375"/>
        <v>0</v>
      </c>
      <c r="CH124" s="169">
        <f t="shared" si="375"/>
        <v>0</v>
      </c>
      <c r="CI124" s="169">
        <f t="shared" si="375"/>
        <v>0</v>
      </c>
      <c r="CJ124" s="170">
        <f t="shared" si="374"/>
        <v>0</v>
      </c>
      <c r="CK124" s="169">
        <f t="shared" si="374"/>
        <v>0</v>
      </c>
      <c r="CL124" s="169">
        <f t="shared" si="374"/>
        <v>0</v>
      </c>
      <c r="CM124" s="169">
        <f t="shared" si="374"/>
        <v>0</v>
      </c>
      <c r="CN124" s="169">
        <f t="shared" si="374"/>
        <v>0</v>
      </c>
      <c r="CO124" s="170">
        <f t="shared" si="374"/>
        <v>0</v>
      </c>
      <c r="CP124" s="169">
        <f t="shared" ref="CP124:DI124" si="376">CP173-CP123</f>
        <v>0</v>
      </c>
      <c r="CQ124" s="169">
        <f t="shared" si="376"/>
        <v>0</v>
      </c>
      <c r="CR124" s="169">
        <f t="shared" si="376"/>
        <v>0</v>
      </c>
      <c r="CS124" s="169">
        <f t="shared" si="376"/>
        <v>0</v>
      </c>
      <c r="CT124" s="170">
        <f t="shared" si="376"/>
        <v>0</v>
      </c>
      <c r="CU124" s="169">
        <f t="shared" si="376"/>
        <v>0</v>
      </c>
      <c r="CV124" s="169">
        <f t="shared" si="376"/>
        <v>0</v>
      </c>
      <c r="CW124" s="169">
        <f t="shared" ref="CW124:CY124" si="377">CW173-CW123</f>
        <v>0</v>
      </c>
      <c r="CX124" s="169">
        <f t="shared" si="377"/>
        <v>0</v>
      </c>
      <c r="CY124" s="170">
        <f t="shared" si="377"/>
        <v>0</v>
      </c>
      <c r="CZ124" s="169">
        <f t="shared" ref="CZ124:DC124" si="378">CZ173-CZ123</f>
        <v>0</v>
      </c>
      <c r="DA124" s="169">
        <f t="shared" si="378"/>
        <v>0</v>
      </c>
      <c r="DB124" s="169">
        <f t="shared" si="378"/>
        <v>0.0299999999999727</v>
      </c>
      <c r="DC124" s="169">
        <f t="shared" si="378"/>
        <v>-0.0300000000002001</v>
      </c>
      <c r="DD124" s="170">
        <f t="shared" si="376"/>
        <v>0</v>
      </c>
      <c r="DE124" s="169">
        <f t="shared" si="376"/>
        <v>0</v>
      </c>
      <c r="DF124" s="169">
        <f t="shared" si="376"/>
        <v>0</v>
      </c>
      <c r="DG124" s="169">
        <f t="shared" si="376"/>
        <v>0</v>
      </c>
      <c r="DH124" s="169">
        <f t="shared" si="376"/>
        <v>0</v>
      </c>
      <c r="DI124" s="170">
        <f t="shared" si="376"/>
        <v>0</v>
      </c>
      <c r="DJ124" s="169">
        <f t="shared" ref="DJ124:DN124" si="379">DJ173-DJ123</f>
        <v>0</v>
      </c>
      <c r="DK124" s="169">
        <f t="shared" si="379"/>
        <v>0</v>
      </c>
      <c r="DL124" s="169">
        <f t="shared" si="379"/>
        <v>0</v>
      </c>
      <c r="DM124" s="169">
        <f t="shared" si="379"/>
        <v>0</v>
      </c>
      <c r="DN124" s="170">
        <f t="shared" si="379"/>
        <v>1.81898940354586e-12</v>
      </c>
      <c r="DO124" s="169">
        <f t="shared" ref="DO124:DS124" si="380">DO173-DO123</f>
        <v>0</v>
      </c>
      <c r="DP124" s="169">
        <f t="shared" si="380"/>
        <v>0</v>
      </c>
      <c r="DQ124" s="169">
        <f t="shared" si="380"/>
        <v>0</v>
      </c>
      <c r="DR124" s="169">
        <f t="shared" si="380"/>
        <v>0</v>
      </c>
      <c r="DS124" s="170">
        <f t="shared" si="380"/>
        <v>0</v>
      </c>
    </row>
    <row r="125" s="86" customFormat="1" collapsed="1" spans="1:123">
      <c r="A125" s="169"/>
      <c r="B125" s="551"/>
      <c r="C125" s="170"/>
      <c r="D125" s="169"/>
      <c r="E125" s="169"/>
      <c r="F125" s="169"/>
      <c r="G125" s="169"/>
      <c r="H125" s="170"/>
      <c r="I125" s="169"/>
      <c r="J125" s="169"/>
      <c r="K125" s="169"/>
      <c r="L125" s="169"/>
      <c r="M125" s="170"/>
      <c r="N125" s="169"/>
      <c r="O125" s="169"/>
      <c r="P125" s="169"/>
      <c r="Q125" s="169"/>
      <c r="R125" s="170"/>
      <c r="S125" s="169"/>
      <c r="T125" s="169"/>
      <c r="U125" s="169"/>
      <c r="V125" s="169"/>
      <c r="W125" s="170"/>
      <c r="X125" s="169"/>
      <c r="Y125" s="169"/>
      <c r="Z125" s="169"/>
      <c r="AA125" s="169"/>
      <c r="AB125" s="170"/>
      <c r="AC125" s="169"/>
      <c r="AD125" s="169"/>
      <c r="AE125" s="169"/>
      <c r="AF125" s="169"/>
      <c r="AG125" s="170"/>
      <c r="AH125" s="169"/>
      <c r="AI125" s="169"/>
      <c r="AJ125" s="169"/>
      <c r="AK125" s="169"/>
      <c r="AL125" s="170"/>
      <c r="AM125" s="169"/>
      <c r="AN125" s="169"/>
      <c r="AO125" s="169"/>
      <c r="AP125" s="169"/>
      <c r="AQ125" s="170"/>
      <c r="AR125" s="169"/>
      <c r="AS125" s="169"/>
      <c r="AT125" s="169"/>
      <c r="AU125" s="169"/>
      <c r="AV125" s="170"/>
      <c r="AW125" s="169"/>
      <c r="AX125" s="169"/>
      <c r="AY125" s="169"/>
      <c r="AZ125" s="169"/>
      <c r="BA125" s="170"/>
      <c r="BB125" s="169"/>
      <c r="BC125" s="169"/>
      <c r="BD125" s="169"/>
      <c r="BE125" s="169"/>
      <c r="BF125" s="170"/>
      <c r="BG125" s="169"/>
      <c r="BH125" s="169"/>
      <c r="BI125" s="169"/>
      <c r="BJ125" s="169"/>
      <c r="BK125" s="170"/>
      <c r="BL125" s="169"/>
      <c r="BM125" s="169"/>
      <c r="BN125" s="169"/>
      <c r="BO125" s="169"/>
      <c r="BP125" s="170"/>
      <c r="BQ125" s="169"/>
      <c r="BR125" s="169"/>
      <c r="BS125" s="169"/>
      <c r="BT125" s="169"/>
      <c r="BU125" s="170"/>
      <c r="BV125" s="169"/>
      <c r="BW125" s="169"/>
      <c r="BX125" s="169"/>
      <c r="BY125" s="169"/>
      <c r="BZ125" s="170"/>
      <c r="CA125" s="169"/>
      <c r="CB125" s="169"/>
      <c r="CC125" s="169"/>
      <c r="CD125" s="169"/>
      <c r="CE125" s="170"/>
      <c r="CF125" s="169"/>
      <c r="CG125" s="169"/>
      <c r="CH125" s="169"/>
      <c r="CI125" s="169"/>
      <c r="CJ125" s="170"/>
      <c r="CK125" s="169"/>
      <c r="CL125" s="169"/>
      <c r="CM125" s="169"/>
      <c r="CN125" s="169"/>
      <c r="CO125" s="170"/>
      <c r="CP125" s="169"/>
      <c r="CQ125" s="169"/>
      <c r="CR125" s="169"/>
      <c r="CS125" s="169"/>
      <c r="CT125" s="170"/>
      <c r="CU125" s="169"/>
      <c r="CV125" s="169"/>
      <c r="CW125" s="169"/>
      <c r="CX125" s="169"/>
      <c r="CY125" s="170"/>
      <c r="CZ125" s="169"/>
      <c r="DA125" s="169"/>
      <c r="DB125" s="169"/>
      <c r="DC125" s="169"/>
      <c r="DD125" s="170"/>
      <c r="DE125" s="169"/>
      <c r="DF125" s="169"/>
      <c r="DG125" s="169"/>
      <c r="DH125" s="169"/>
      <c r="DI125" s="170"/>
      <c r="DJ125" s="169"/>
      <c r="DK125" s="169"/>
      <c r="DL125" s="169"/>
      <c r="DM125" s="169"/>
      <c r="DN125" s="170"/>
      <c r="DO125" s="169"/>
      <c r="DP125" s="169"/>
      <c r="DQ125" s="169"/>
      <c r="DR125" s="169"/>
      <c r="DS125" s="170"/>
    </row>
    <row r="126" spans="1:123">
      <c r="B126" s="601" t="s">
        <v>125</v>
      </c>
      <c r="C126" s="602"/>
      <c r="D126" s="603"/>
      <c r="E126" s="603"/>
      <c r="F126" s="603"/>
      <c r="G126" s="603"/>
      <c r="H126" s="602"/>
      <c r="I126" s="603"/>
      <c r="J126" s="603"/>
      <c r="K126" s="603"/>
      <c r="L126" s="603"/>
      <c r="M126" s="602">
        <f>M103+M105</f>
        <v>12.3821041</v>
      </c>
      <c r="N126" s="603"/>
      <c r="O126" s="603"/>
      <c r="P126" s="603"/>
      <c r="Q126" s="603"/>
      <c r="R126" s="602">
        <f>R103+R105</f>
        <v>7.35447000000001</v>
      </c>
      <c r="S126" s="603"/>
      <c r="T126" s="603"/>
      <c r="U126" s="603"/>
      <c r="V126" s="603"/>
      <c r="W126" s="602">
        <f>W103+W105</f>
        <v>5.10731499999999</v>
      </c>
      <c r="X126" s="603"/>
      <c r="Y126" s="603"/>
      <c r="Z126" s="603"/>
      <c r="AA126" s="603"/>
      <c r="AB126" s="602">
        <f>AB103+AB105</f>
        <v>102.463</v>
      </c>
      <c r="AC126" s="603"/>
      <c r="AD126" s="603"/>
      <c r="AE126" s="603"/>
      <c r="AF126" s="603"/>
      <c r="AG126" s="602">
        <f t="shared" ref="AG126:BL126" si="381">AG103+AG105</f>
        <v>149.638</v>
      </c>
      <c r="AH126" s="603">
        <f t="shared" si="381"/>
        <v>-69.176</v>
      </c>
      <c r="AI126" s="603">
        <f t="shared" si="381"/>
        <v>1.38100000000002</v>
      </c>
      <c r="AJ126" s="603">
        <f t="shared" si="381"/>
        <v>20.624</v>
      </c>
      <c r="AK126" s="603">
        <f t="shared" si="381"/>
        <v>134.129</v>
      </c>
      <c r="AL126" s="602">
        <f t="shared" si="381"/>
        <v>86.958</v>
      </c>
      <c r="AM126" s="603">
        <f t="shared" si="381"/>
        <v>3.25599999999998</v>
      </c>
      <c r="AN126" s="603">
        <f t="shared" si="381"/>
        <v>21.218</v>
      </c>
      <c r="AO126" s="603">
        <f t="shared" si="381"/>
        <v>16.7250000000001</v>
      </c>
      <c r="AP126" s="603">
        <f t="shared" si="381"/>
        <v>145.685</v>
      </c>
      <c r="AQ126" s="602">
        <f t="shared" si="381"/>
        <v>186.884</v>
      </c>
      <c r="AR126" s="603">
        <f t="shared" si="381"/>
        <v>4.15900000000006</v>
      </c>
      <c r="AS126" s="603">
        <f t="shared" si="381"/>
        <v>22.759</v>
      </c>
      <c r="AT126" s="603">
        <f t="shared" si="381"/>
        <v>-4.05700000000001</v>
      </c>
      <c r="AU126" s="603">
        <f t="shared" si="381"/>
        <v>149.07</v>
      </c>
      <c r="AV126" s="602">
        <f t="shared" si="381"/>
        <v>171.931</v>
      </c>
      <c r="AW126" s="603">
        <f t="shared" si="381"/>
        <v>45.522</v>
      </c>
      <c r="AX126" s="603">
        <f t="shared" si="381"/>
        <v>26.341</v>
      </c>
      <c r="AY126" s="603">
        <f t="shared" si="381"/>
        <v>5.55699999999995</v>
      </c>
      <c r="AZ126" s="603">
        <f t="shared" si="381"/>
        <v>117.315</v>
      </c>
      <c r="BA126" s="602">
        <f t="shared" si="381"/>
        <v>194.716</v>
      </c>
      <c r="BB126" s="603">
        <f t="shared" si="381"/>
        <v>-6.99599999999997</v>
      </c>
      <c r="BC126" s="603">
        <f t="shared" si="381"/>
        <v>-25.961</v>
      </c>
      <c r="BD126" s="603">
        <f t="shared" si="381"/>
        <v>-49.171</v>
      </c>
      <c r="BE126" s="603">
        <f t="shared" si="381"/>
        <v>237.374</v>
      </c>
      <c r="BF126" s="602">
        <f t="shared" si="381"/>
        <v>155.253</v>
      </c>
      <c r="BG126" s="603">
        <f t="shared" si="381"/>
        <v>13.09</v>
      </c>
      <c r="BH126" s="603">
        <f t="shared" si="381"/>
        <v>15.637</v>
      </c>
      <c r="BI126" s="603">
        <f t="shared" si="381"/>
        <v>-37.564</v>
      </c>
      <c r="BJ126" s="603">
        <f t="shared" si="381"/>
        <v>244.452583385339</v>
      </c>
      <c r="BK126" s="602">
        <f t="shared" si="381"/>
        <v>235.608</v>
      </c>
      <c r="BL126" s="603">
        <f t="shared" si="381"/>
        <v>-0.478999999999989</v>
      </c>
      <c r="BM126" s="603">
        <f t="shared" ref="BM126:CC126" si="382">BM103+BM105</f>
        <v>52.6280000000001</v>
      </c>
      <c r="BN126" s="603">
        <f t="shared" si="382"/>
        <v>-27.9519999999999</v>
      </c>
      <c r="BO126" s="603">
        <f t="shared" si="382"/>
        <v>307.292</v>
      </c>
      <c r="BP126" s="602">
        <f t="shared" si="382"/>
        <v>331.472</v>
      </c>
      <c r="BQ126" s="603">
        <f t="shared" si="382"/>
        <v>1.52300000000001</v>
      </c>
      <c r="BR126" s="603">
        <f t="shared" si="382"/>
        <v>124.496</v>
      </c>
      <c r="BS126" s="603">
        <f t="shared" si="382"/>
        <v>34.111</v>
      </c>
      <c r="BT126" s="603">
        <f t="shared" si="382"/>
        <v>356.842</v>
      </c>
      <c r="BU126" s="602">
        <f t="shared" si="382"/>
        <v>516.972</v>
      </c>
      <c r="BV126" s="603">
        <f t="shared" si="382"/>
        <v>-131.237</v>
      </c>
      <c r="BW126" s="603">
        <f t="shared" si="382"/>
        <v>45.515</v>
      </c>
      <c r="BX126" s="603">
        <f t="shared" si="382"/>
        <v>-33.389</v>
      </c>
      <c r="BY126" s="603">
        <f t="shared" si="382"/>
        <v>505.379</v>
      </c>
      <c r="BZ126" s="602">
        <f t="shared" si="382"/>
        <v>386.268</v>
      </c>
      <c r="CA126" s="603">
        <f t="shared" si="382"/>
        <v>-173.344</v>
      </c>
      <c r="CB126" s="603">
        <f t="shared" si="382"/>
        <v>128.683</v>
      </c>
      <c r="CC126" s="603">
        <f t="shared" si="382"/>
        <v>-40.7650000000001</v>
      </c>
      <c r="CD126" s="603">
        <f t="shared" ref="CD126:CI126" si="383">CD103+CD105</f>
        <v>659.536</v>
      </c>
      <c r="CE126" s="602">
        <f t="shared" si="383"/>
        <v>574.11</v>
      </c>
      <c r="CF126" s="603">
        <f t="shared" si="383"/>
        <v>149.884</v>
      </c>
      <c r="CG126" s="603">
        <f t="shared" si="383"/>
        <v>205.394</v>
      </c>
      <c r="CH126" s="603">
        <f t="shared" si="383"/>
        <v>35.8549999999999</v>
      </c>
      <c r="CI126" s="603">
        <f t="shared" si="383"/>
        <v>603.473</v>
      </c>
      <c r="CJ126" s="602">
        <f t="shared" ref="CJ126:CO126" si="384">CJ103+CJ105</f>
        <v>994.606</v>
      </c>
      <c r="CK126" s="603">
        <f t="shared" si="384"/>
        <v>-354.608</v>
      </c>
      <c r="CL126" s="603">
        <f t="shared" si="384"/>
        <v>-47.0799999999999</v>
      </c>
      <c r="CM126" s="603">
        <f t="shared" si="384"/>
        <v>-109.79</v>
      </c>
      <c r="CN126" s="603">
        <f t="shared" si="384"/>
        <v>839.284</v>
      </c>
      <c r="CO126" s="602">
        <f t="shared" si="384"/>
        <v>327.806</v>
      </c>
      <c r="CP126" s="603">
        <f t="shared" ref="CP126:DI126" si="385">CP103+CP105</f>
        <v>-91.4390000000003</v>
      </c>
      <c r="CQ126" s="603">
        <f t="shared" si="385"/>
        <v>331.199</v>
      </c>
      <c r="CR126" s="603">
        <f t="shared" si="385"/>
        <v>226.953</v>
      </c>
      <c r="CS126" s="603">
        <f t="shared" si="385"/>
        <v>1177.586</v>
      </c>
      <c r="CT126" s="602">
        <f t="shared" si="385"/>
        <v>1644.299</v>
      </c>
      <c r="CU126" s="603">
        <f t="shared" si="385"/>
        <v>-3.15699999999983</v>
      </c>
      <c r="CV126" s="603">
        <f t="shared" si="385"/>
        <v>298.054</v>
      </c>
      <c r="CW126" s="603">
        <f t="shared" ref="CW126:CX126" si="386">CW103+CW105</f>
        <v>122.176</v>
      </c>
      <c r="CX126" s="603">
        <f t="shared" si="386"/>
        <v>1166.408</v>
      </c>
      <c r="CY126" s="602">
        <f t="shared" si="385"/>
        <v>1583.481</v>
      </c>
      <c r="CZ126" s="603">
        <f t="shared" ref="CZ126:DC126" si="387">CZ103+CZ105</f>
        <v>-271.217</v>
      </c>
      <c r="DA126" s="603">
        <f t="shared" si="387"/>
        <v>150.778</v>
      </c>
      <c r="DB126" s="603">
        <f t="shared" si="387"/>
        <v>82.443</v>
      </c>
      <c r="DC126" s="603">
        <f t="shared" si="387"/>
        <v>959.671</v>
      </c>
      <c r="DD126" s="602">
        <f t="shared" si="385"/>
        <v>921.675000000001</v>
      </c>
      <c r="DE126" s="603">
        <f t="shared" si="385"/>
        <v>87.0599999999999</v>
      </c>
      <c r="DF126" s="603">
        <f t="shared" si="385"/>
        <v>225.162</v>
      </c>
      <c r="DG126" s="603">
        <f t="shared" si="385"/>
        <v>-343.48137050483</v>
      </c>
      <c r="DH126" s="603">
        <f t="shared" si="385"/>
        <v>724.082857556066</v>
      </c>
      <c r="DI126" s="602">
        <f t="shared" si="385"/>
        <v>692.823487051235</v>
      </c>
      <c r="DJ126" s="603">
        <f t="shared" ref="DJ126:DN126" si="388">DJ103+DJ105</f>
        <v>276.073149034159</v>
      </c>
      <c r="DK126" s="603">
        <f t="shared" si="388"/>
        <v>160.138110529143</v>
      </c>
      <c r="DL126" s="603">
        <f t="shared" si="388"/>
        <v>-352.076665030646</v>
      </c>
      <c r="DM126" s="603">
        <f t="shared" si="388"/>
        <v>736.028553058786</v>
      </c>
      <c r="DN126" s="602">
        <f t="shared" si="388"/>
        <v>820.163147591439</v>
      </c>
      <c r="DO126" s="603">
        <f t="shared" ref="DO126:DS126" si="389">DO103+DO105</f>
        <v>259.93711068711</v>
      </c>
      <c r="DP126" s="603">
        <f t="shared" si="389"/>
        <v>186.562178739628</v>
      </c>
      <c r="DQ126" s="603">
        <f t="shared" si="389"/>
        <v>-363.067239080383</v>
      </c>
      <c r="DR126" s="603">
        <f t="shared" si="389"/>
        <v>725.123420979841</v>
      </c>
      <c r="DS126" s="602">
        <f t="shared" si="389"/>
        <v>808.555471326197</v>
      </c>
    </row>
    <row r="127" s="86" customFormat="1" spans="1:123">
      <c r="A127" s="169"/>
      <c r="B127" s="604"/>
      <c r="C127" s="605"/>
      <c r="D127" s="605"/>
      <c r="E127" s="605"/>
      <c r="F127" s="605"/>
      <c r="G127" s="605"/>
      <c r="H127" s="605"/>
      <c r="I127" s="605"/>
      <c r="J127" s="605"/>
      <c r="K127" s="605"/>
      <c r="L127" s="605"/>
      <c r="M127" s="605"/>
      <c r="N127" s="605"/>
      <c r="O127" s="605"/>
      <c r="P127" s="605"/>
      <c r="Q127" s="605"/>
      <c r="R127" s="605"/>
      <c r="S127" s="605"/>
      <c r="T127" s="605"/>
      <c r="U127" s="605"/>
      <c r="V127" s="605"/>
      <c r="W127" s="605"/>
      <c r="X127" s="605"/>
      <c r="Y127" s="605"/>
      <c r="Z127" s="605"/>
      <c r="AA127" s="605"/>
      <c r="AB127" s="605"/>
      <c r="AC127" s="605"/>
      <c r="AD127" s="605"/>
      <c r="AE127" s="605"/>
      <c r="AF127" s="605"/>
      <c r="AG127" s="605"/>
      <c r="AH127" s="605"/>
      <c r="AI127" s="605"/>
      <c r="AJ127" s="605"/>
      <c r="AK127" s="605"/>
      <c r="AL127" s="605"/>
      <c r="AM127" s="605"/>
      <c r="AN127" s="605"/>
      <c r="AO127" s="605"/>
      <c r="AP127" s="605"/>
      <c r="AQ127" s="605"/>
      <c r="AR127" s="605"/>
      <c r="AS127" s="605"/>
      <c r="AT127" s="605"/>
      <c r="AU127" s="605"/>
      <c r="AV127" s="605"/>
      <c r="AW127" s="605"/>
      <c r="AX127" s="605"/>
      <c r="AY127" s="605"/>
      <c r="AZ127" s="605"/>
      <c r="BA127" s="605"/>
      <c r="BB127" s="605"/>
      <c r="BC127" s="605"/>
      <c r="BD127" s="605"/>
      <c r="BE127" s="605"/>
      <c r="BF127" s="605"/>
      <c r="BG127" s="605"/>
      <c r="BH127" s="605"/>
      <c r="BI127" s="605"/>
      <c r="BJ127" s="605"/>
      <c r="BK127" s="605"/>
      <c r="BL127" s="605"/>
      <c r="BM127" s="605"/>
      <c r="BN127" s="605"/>
      <c r="BO127" s="605"/>
      <c r="BP127" s="605"/>
      <c r="BQ127" s="605"/>
      <c r="BR127" s="605"/>
      <c r="BS127" s="605"/>
      <c r="BT127" s="605"/>
      <c r="BU127" s="605"/>
      <c r="BV127" s="605"/>
      <c r="BW127" s="605"/>
      <c r="BX127" s="605"/>
      <c r="BY127" s="605"/>
      <c r="BZ127" s="605"/>
      <c r="CA127" s="605"/>
      <c r="CB127" s="605"/>
      <c r="CC127" s="605"/>
      <c r="CD127" s="605"/>
      <c r="CE127" s="605"/>
      <c r="CF127" s="605"/>
      <c r="CG127" s="605"/>
      <c r="CH127" s="605"/>
      <c r="CI127" s="605"/>
      <c r="CJ127" s="605"/>
      <c r="CK127" s="605"/>
      <c r="CL127" s="605"/>
      <c r="CM127" s="605"/>
      <c r="CN127" s="605"/>
      <c r="CO127" s="605"/>
      <c r="CP127" s="605"/>
      <c r="CQ127" s="605"/>
      <c r="CR127" s="605"/>
      <c r="CS127" s="605"/>
      <c r="CT127" s="605"/>
      <c r="CU127" s="605"/>
      <c r="CV127" s="605"/>
      <c r="CW127" s="605"/>
      <c r="CX127" s="605"/>
      <c r="CY127" s="605"/>
      <c r="CZ127" s="605"/>
      <c r="DA127" s="605"/>
      <c r="DB127" s="605"/>
      <c r="DC127" s="605"/>
      <c r="DD127" s="605"/>
      <c r="DE127" s="605"/>
      <c r="DF127" s="605"/>
      <c r="DG127" s="605"/>
      <c r="DH127" s="605"/>
      <c r="DI127" s="605"/>
      <c r="DJ127" s="606"/>
      <c r="DK127" s="605"/>
      <c r="DL127" s="605"/>
      <c r="DM127" s="605"/>
      <c r="DN127" s="605"/>
      <c r="DO127" s="605"/>
      <c r="DP127" s="605"/>
      <c r="DQ127" s="605"/>
      <c r="DR127" s="605"/>
      <c r="DS127" s="607"/>
    </row>
    <row r="128" hidden="1" outlineLevel="1" spans="1:123">
      <c r="A128" s="6"/>
      <c r="B128" s="597" t="s">
        <v>126</v>
      </c>
      <c r="C128" s="599"/>
      <c r="D128" s="599"/>
      <c r="E128" s="599"/>
      <c r="F128" s="599"/>
      <c r="G128" s="599"/>
      <c r="H128" s="599"/>
      <c r="I128" s="599"/>
      <c r="J128" s="599"/>
      <c r="K128" s="599"/>
      <c r="L128" s="599"/>
      <c r="M128" s="599"/>
      <c r="N128" s="599"/>
      <c r="O128" s="599"/>
      <c r="P128" s="599"/>
      <c r="Q128" s="599"/>
      <c r="R128" s="599"/>
      <c r="S128" s="599"/>
      <c r="T128" s="599"/>
      <c r="U128" s="599"/>
      <c r="V128" s="599"/>
      <c r="W128" s="599"/>
      <c r="X128" s="599"/>
      <c r="Y128" s="599"/>
      <c r="Z128" s="599"/>
      <c r="AA128" s="599"/>
      <c r="AB128" s="599"/>
      <c r="AC128" s="599"/>
      <c r="AD128" s="599"/>
      <c r="AE128" s="599"/>
      <c r="AF128" s="599"/>
      <c r="AG128" s="599"/>
      <c r="AH128" s="599"/>
      <c r="AI128" s="599"/>
      <c r="AJ128" s="599"/>
      <c r="AK128" s="599"/>
      <c r="AL128" s="599"/>
      <c r="AM128" s="599"/>
      <c r="AN128" s="599"/>
      <c r="AO128" s="599"/>
      <c r="AP128" s="599"/>
      <c r="AQ128" s="599"/>
      <c r="AR128" s="599"/>
      <c r="AS128" s="599"/>
      <c r="AT128" s="599"/>
      <c r="AU128" s="599"/>
      <c r="AV128" s="599"/>
      <c r="AW128" s="599"/>
      <c r="AX128" s="599"/>
      <c r="AY128" s="599"/>
      <c r="AZ128" s="599"/>
      <c r="BA128" s="599"/>
      <c r="BB128" s="599"/>
      <c r="BC128" s="599"/>
      <c r="BD128" s="599"/>
      <c r="BE128" s="599"/>
      <c r="BF128" s="599"/>
      <c r="BG128" s="599"/>
      <c r="BH128" s="599"/>
      <c r="BI128" s="599"/>
      <c r="BJ128" s="599"/>
      <c r="BK128" s="599"/>
      <c r="BL128" s="599"/>
      <c r="BM128" s="599"/>
      <c r="BN128" s="599"/>
      <c r="BO128" s="599"/>
      <c r="BP128" s="599"/>
      <c r="BQ128" s="599"/>
      <c r="BR128" s="599"/>
      <c r="BS128" s="599"/>
      <c r="BT128" s="599"/>
      <c r="BU128" s="599"/>
      <c r="BV128" s="599"/>
      <c r="BW128" s="599"/>
      <c r="BX128" s="599"/>
      <c r="BY128" s="599"/>
      <c r="BZ128" s="599"/>
      <c r="CA128" s="599"/>
      <c r="CB128" s="599"/>
      <c r="CC128" s="599"/>
      <c r="CD128" s="599"/>
      <c r="CE128" s="599"/>
      <c r="CF128" s="599"/>
      <c r="CG128" s="599"/>
      <c r="CH128" s="599"/>
      <c r="CI128" s="599"/>
      <c r="CJ128" s="599"/>
      <c r="CK128" s="599"/>
      <c r="CL128" s="599"/>
      <c r="CM128" s="599"/>
      <c r="CN128" s="599"/>
      <c r="CO128" s="599"/>
      <c r="CP128" s="599"/>
      <c r="CQ128" s="599"/>
      <c r="CR128" s="599"/>
      <c r="CS128" s="599"/>
      <c r="CT128" s="599"/>
      <c r="CU128" s="599"/>
      <c r="CV128" s="599"/>
      <c r="CW128" s="599"/>
      <c r="CX128" s="599"/>
      <c r="CY128" s="599"/>
      <c r="CZ128" s="599"/>
      <c r="DA128" s="599"/>
      <c r="DB128" s="599"/>
      <c r="DC128" s="599"/>
      <c r="DD128" s="599"/>
      <c r="DE128" s="599"/>
      <c r="DF128" s="599"/>
      <c r="DG128" s="599"/>
      <c r="DH128" s="599"/>
      <c r="DI128" s="599"/>
      <c r="DJ128" s="599"/>
      <c r="DK128" s="599"/>
      <c r="DL128" s="599"/>
      <c r="DM128" s="599"/>
      <c r="DN128" s="599"/>
      <c r="DO128" s="599"/>
      <c r="DP128" s="599"/>
      <c r="DQ128" s="599"/>
      <c r="DR128" s="599"/>
      <c r="DS128" s="608"/>
    </row>
    <row r="129" hidden="1" outlineLevel="1" spans="1:123">
      <c r="A129" s="6"/>
      <c r="B129" s="609" t="s">
        <v>98</v>
      </c>
      <c r="C129" s="579"/>
      <c r="D129" s="580"/>
      <c r="E129" s="580"/>
      <c r="F129" s="580"/>
      <c r="G129" s="580"/>
      <c r="H129" s="579"/>
      <c r="I129" s="580"/>
      <c r="J129" s="580"/>
      <c r="K129" s="580"/>
      <c r="L129" s="580"/>
      <c r="M129" s="579">
        <f>M64</f>
        <v>11.014791</v>
      </c>
      <c r="N129" s="580"/>
      <c r="O129" s="580"/>
      <c r="P129" s="580"/>
      <c r="Q129" s="580"/>
      <c r="R129" s="579">
        <f>R64</f>
        <v>30.8424389999999</v>
      </c>
      <c r="S129" s="580"/>
      <c r="T129" s="580"/>
      <c r="U129" s="580"/>
      <c r="V129" s="580"/>
      <c r="W129" s="579">
        <f>W64</f>
        <v>42.121694</v>
      </c>
      <c r="X129" s="580"/>
      <c r="Y129" s="580"/>
      <c r="Z129" s="580"/>
      <c r="AA129" s="580"/>
      <c r="AB129" s="579">
        <f>AB64</f>
        <v>58.415456</v>
      </c>
      <c r="AC129" s="580"/>
      <c r="AD129" s="580"/>
      <c r="AE129" s="580"/>
      <c r="AF129" s="580"/>
      <c r="AG129" s="579">
        <f>AG64</f>
        <v>122.197</v>
      </c>
      <c r="AH129" s="580">
        <f>AH64</f>
        <v>33.516</v>
      </c>
      <c r="AI129" s="580">
        <f>AI64+AH129</f>
        <v>72.134</v>
      </c>
      <c r="AJ129" s="580">
        <f>AJ64+AI129</f>
        <v>111.075</v>
      </c>
      <c r="AK129" s="580">
        <f>AK64+AJ129</f>
        <v>184.964</v>
      </c>
      <c r="AL129" s="579">
        <f>AL64</f>
        <v>184.964</v>
      </c>
      <c r="AM129" s="580">
        <f>AM64</f>
        <v>46.974</v>
      </c>
      <c r="AN129" s="580">
        <f>AN64+AM129</f>
        <v>104.676</v>
      </c>
      <c r="AO129" s="580">
        <f>AO64+AN129</f>
        <v>162.056</v>
      </c>
      <c r="AP129" s="580">
        <f>AP64+AO129</f>
        <v>271.431</v>
      </c>
      <c r="AQ129" s="579">
        <f>AQ64</f>
        <v>271.431</v>
      </c>
      <c r="AR129" s="580">
        <f>AR64</f>
        <v>47.2790000000001</v>
      </c>
      <c r="AS129" s="580">
        <f>AS64+AR129</f>
        <v>103.744</v>
      </c>
      <c r="AT129" s="580">
        <f>AT64+AS129</f>
        <v>169.855</v>
      </c>
      <c r="AU129" s="580">
        <f>AU64+AT129</f>
        <v>279.547</v>
      </c>
      <c r="AV129" s="579">
        <f>AV64</f>
        <v>279.547</v>
      </c>
      <c r="AW129" s="580">
        <f>AW64</f>
        <v>52.681</v>
      </c>
      <c r="AX129" s="580">
        <f>AX64+AW129</f>
        <v>101.448</v>
      </c>
      <c r="AY129" s="580">
        <f>AY64+AX129</f>
        <v>161.899</v>
      </c>
      <c r="AZ129" s="580">
        <f>BA129</f>
        <v>272.733</v>
      </c>
      <c r="BA129" s="579">
        <f>BA64</f>
        <v>272.733</v>
      </c>
      <c r="BB129" s="580">
        <f>BB64</f>
        <v>47.81</v>
      </c>
      <c r="BC129" s="580">
        <f>BC64+BB129</f>
        <v>95.4780000000001</v>
      </c>
      <c r="BD129" s="580">
        <f>BD64+BC129</f>
        <v>144.524</v>
      </c>
      <c r="BE129" s="580">
        <f>BE64+BD129</f>
        <v>261.94</v>
      </c>
      <c r="BF129" s="579">
        <f>BF64</f>
        <v>261.94</v>
      </c>
      <c r="BG129" s="580">
        <f>BG64</f>
        <v>40.936</v>
      </c>
      <c r="BH129" s="580">
        <f>BH64+BG129</f>
        <v>92.961</v>
      </c>
      <c r="BI129" s="580">
        <f>BI64+BH129</f>
        <v>157.446</v>
      </c>
      <c r="BJ129" s="580">
        <f>BJ64+BI129</f>
        <v>294.501284</v>
      </c>
      <c r="BK129" s="579">
        <f>BK64</f>
        <v>294.501284</v>
      </c>
      <c r="BL129" s="580">
        <f>BL64</f>
        <v>44.312</v>
      </c>
      <c r="BM129" s="580">
        <f>BM64+BL129</f>
        <v>97.0630000000001</v>
      </c>
      <c r="BN129" s="580">
        <f>BN64+BM129</f>
        <v>172.395</v>
      </c>
      <c r="BO129" s="580">
        <f>BO64+BN129</f>
        <v>352.453</v>
      </c>
      <c r="BP129" s="579">
        <f>BP86</f>
        <v>352.437</v>
      </c>
      <c r="BQ129" s="580">
        <f>BQ64</f>
        <v>75.153</v>
      </c>
      <c r="BR129" s="580">
        <f>BR64+BQ129</f>
        <v>170.923</v>
      </c>
      <c r="BS129" s="580">
        <f>BS64+BR129</f>
        <v>270.499</v>
      </c>
      <c r="BT129" s="580">
        <f>BT64+BS129</f>
        <v>514.979</v>
      </c>
      <c r="BU129" s="579">
        <f>BU86</f>
        <v>514.979</v>
      </c>
      <c r="BV129" s="580">
        <f>BV64</f>
        <v>96.603</v>
      </c>
      <c r="BW129" s="580">
        <f>BW64+BV129</f>
        <v>221.593</v>
      </c>
      <c r="BX129" s="580">
        <f>BX64+BW129</f>
        <v>347.575</v>
      </c>
      <c r="BY129" s="580">
        <f>BY64+BX129</f>
        <v>645.596</v>
      </c>
      <c r="BZ129" s="579">
        <f>BZ86</f>
        <v>645.596</v>
      </c>
      <c r="CA129" s="580">
        <f>CA64</f>
        <v>28.632</v>
      </c>
      <c r="CB129" s="580">
        <f>CB64+CA129</f>
        <v>124.93</v>
      </c>
      <c r="CC129" s="580">
        <f>CC64+CB129</f>
        <v>276.208</v>
      </c>
      <c r="CD129" s="580">
        <f>CD64+CC129</f>
        <v>613.579</v>
      </c>
      <c r="CE129" s="579">
        <f>CE86</f>
        <v>613.579</v>
      </c>
      <c r="CF129" s="580">
        <f>CF64</f>
        <v>152.248</v>
      </c>
      <c r="CG129" s="580">
        <f>CG64+CF129</f>
        <v>368.031</v>
      </c>
      <c r="CH129" s="580">
        <f>CH64+CG129</f>
        <v>579.335</v>
      </c>
      <c r="CI129" s="580">
        <f>CI64+CH129</f>
        <v>1015.299</v>
      </c>
      <c r="CJ129" s="579">
        <f>CJ86</f>
        <v>1015.299</v>
      </c>
      <c r="CK129" s="580">
        <f>CK64</f>
        <v>189.998</v>
      </c>
      <c r="CL129" s="580">
        <f>CL64+CK129</f>
        <v>471</v>
      </c>
      <c r="CM129" s="580">
        <f>CM64+CL129</f>
        <v>726.47</v>
      </c>
      <c r="CN129" s="580">
        <f>CN64+CM129</f>
        <v>1288.951</v>
      </c>
      <c r="CO129" s="579">
        <f>CO86</f>
        <v>1288.951</v>
      </c>
      <c r="CP129" s="580">
        <f>CP64</f>
        <v>290.405</v>
      </c>
      <c r="CQ129" s="580">
        <f>CQ64+CP129</f>
        <v>632.008</v>
      </c>
      <c r="CR129" s="580">
        <f>CR64+CQ129</f>
        <v>952.847</v>
      </c>
      <c r="CS129" s="580">
        <f>CS64+CR129</f>
        <v>1622.315</v>
      </c>
      <c r="CT129" s="579">
        <f>CT86</f>
        <v>1622.315</v>
      </c>
      <c r="CU129" s="580">
        <f>CU64</f>
        <v>321.421</v>
      </c>
      <c r="CV129" s="580">
        <f>CV64+CU129</f>
        <v>714.343</v>
      </c>
      <c r="CW129" s="580">
        <f>CW64+CV129</f>
        <v>1066.213</v>
      </c>
      <c r="CX129" s="580">
        <f>CX64+CW129</f>
        <v>1814.616</v>
      </c>
      <c r="CY129" s="579">
        <f>CY86</f>
        <v>1814.616</v>
      </c>
      <c r="CZ129" s="580">
        <f>CZ64</f>
        <v>314.572</v>
      </c>
      <c r="DA129" s="580">
        <f>DA64+CZ129</f>
        <v>685.477</v>
      </c>
      <c r="DB129" s="580">
        <f>DB64+DA129</f>
        <v>992.312</v>
      </c>
      <c r="DC129" s="580">
        <f>DC64+DB129</f>
        <v>1579.183</v>
      </c>
      <c r="DD129" s="579">
        <f>DD86</f>
        <v>1579.183</v>
      </c>
      <c r="DE129" s="580">
        <f>DE64</f>
        <v>195.048</v>
      </c>
      <c r="DF129" s="580">
        <f>DF64+DE129</f>
        <v>524.271</v>
      </c>
      <c r="DG129" s="580"/>
      <c r="DH129" s="580"/>
      <c r="DI129" s="579"/>
      <c r="DJ129" s="580"/>
      <c r="DK129" s="580"/>
      <c r="DL129" s="580"/>
      <c r="DM129" s="580"/>
      <c r="DN129" s="579"/>
      <c r="DO129" s="580"/>
      <c r="DP129" s="580"/>
      <c r="DQ129" s="580"/>
      <c r="DR129" s="580"/>
      <c r="DS129" s="579"/>
    </row>
    <row r="130" hidden="1" outlineLevel="1" spans="1:123">
      <c r="A130" s="6"/>
      <c r="B130" s="609" t="s">
        <v>99</v>
      </c>
      <c r="C130" s="579"/>
      <c r="D130" s="580"/>
      <c r="E130" s="580"/>
      <c r="F130" s="580"/>
      <c r="G130" s="580"/>
      <c r="H130" s="579"/>
      <c r="I130" s="580"/>
      <c r="J130" s="580"/>
      <c r="K130" s="580"/>
      <c r="L130" s="580"/>
      <c r="M130" s="579">
        <f>M73*M70</f>
        <v>-3.34846000000002</v>
      </c>
      <c r="N130" s="580"/>
      <c r="O130" s="580"/>
      <c r="P130" s="580"/>
      <c r="Q130" s="580"/>
      <c r="R130" s="579">
        <f>R132-R129</f>
        <v>1.27344200000007</v>
      </c>
      <c r="S130" s="580"/>
      <c r="T130" s="580"/>
      <c r="U130" s="580"/>
      <c r="V130" s="580"/>
      <c r="W130" s="579">
        <f>W132-W129</f>
        <v>-1.62010199999997</v>
      </c>
      <c r="X130" s="580"/>
      <c r="Y130" s="580"/>
      <c r="Z130" s="580"/>
      <c r="AA130" s="580"/>
      <c r="AB130" s="579">
        <f>AB132-AB129</f>
        <v>-0.134456000000021</v>
      </c>
      <c r="AC130" s="580"/>
      <c r="AD130" s="580"/>
      <c r="AE130" s="580"/>
      <c r="AF130" s="580"/>
      <c r="AG130" s="579">
        <f>AG73*AG70</f>
        <v>0</v>
      </c>
      <c r="AH130" s="580">
        <f>AH73*AH70</f>
        <v>0</v>
      </c>
      <c r="AI130" s="580">
        <f>AI73*AI70+AH130</f>
        <v>0</v>
      </c>
      <c r="AJ130" s="580">
        <f>AJ73*AJ70+AI130</f>
        <v>0</v>
      </c>
      <c r="AK130" s="580">
        <f>AK73*AK70+AJ130</f>
        <v>0</v>
      </c>
      <c r="AL130" s="579">
        <f>AL73*AL70</f>
        <v>0</v>
      </c>
      <c r="AM130" s="580">
        <f>AM73*AM70</f>
        <v>0</v>
      </c>
      <c r="AN130" s="580">
        <f>AN73*AN70+AM130</f>
        <v>0</v>
      </c>
      <c r="AO130" s="580">
        <f>AO73*AO70+AN130</f>
        <v>0</v>
      </c>
      <c r="AP130" s="580">
        <f>AP73*AP70+AO130</f>
        <v>0</v>
      </c>
      <c r="AQ130" s="579">
        <f>AQ73*AQ70</f>
        <v>0</v>
      </c>
      <c r="AR130" s="580">
        <f>AR73*AR70</f>
        <v>0</v>
      </c>
      <c r="AS130" s="580">
        <f>AS73*AS70+AR130</f>
        <v>0</v>
      </c>
      <c r="AT130" s="580">
        <f>AT73*AT70+AS130</f>
        <v>0</v>
      </c>
      <c r="AU130" s="580">
        <f>AU73*AU70+AT130</f>
        <v>0</v>
      </c>
      <c r="AV130" s="579">
        <f>AV73*AV70</f>
        <v>0</v>
      </c>
      <c r="AW130" s="580">
        <f>AW73*AW70</f>
        <v>-33.7</v>
      </c>
      <c r="AX130" s="580">
        <f>AX73*AX70+AW130</f>
        <v>-33.7</v>
      </c>
      <c r="AY130" s="580">
        <f>AY73*AY70+AX130</f>
        <v>-33.7</v>
      </c>
      <c r="AZ130" s="580">
        <f>AZ73*AZ70+AY130</f>
        <v>-33.7</v>
      </c>
      <c r="BA130" s="579">
        <f>BA73*BA70</f>
        <v>-33.7</v>
      </c>
      <c r="BB130" s="580">
        <f>BB73*BB70</f>
        <v>0</v>
      </c>
      <c r="BC130" s="580">
        <f>BC73*BC70+BB130</f>
        <v>0</v>
      </c>
      <c r="BD130" s="580">
        <f>BD73*BD70+BC130</f>
        <v>4.1</v>
      </c>
      <c r="BE130" s="580">
        <f>BE73*BE70+BD130</f>
        <v>4.1</v>
      </c>
      <c r="BF130" s="579">
        <v>4.107</v>
      </c>
      <c r="BG130" s="580">
        <f>BG73*BG70</f>
        <v>4.40000000000003</v>
      </c>
      <c r="BH130" s="580">
        <f>BH73*BH70+BG130</f>
        <v>6.00000000000003</v>
      </c>
      <c r="BI130" s="580">
        <f>BI73*BI70+BH130</f>
        <v>9.80000000000003</v>
      </c>
      <c r="BJ130" s="580">
        <f>BJ73*BJ70+BI130</f>
        <v>8.87800000000002</v>
      </c>
      <c r="BK130" s="579">
        <f>BK73*BK70</f>
        <v>9.06841661466139</v>
      </c>
      <c r="BL130" s="580">
        <f>BL73*BL70</f>
        <v>-13.066</v>
      </c>
      <c r="BM130" s="580">
        <f>BM73*BM70+BL130</f>
        <v>-17.106</v>
      </c>
      <c r="BN130" s="580">
        <f>BN73*BN70+BM130</f>
        <v>-33.478</v>
      </c>
      <c r="BO130" s="580">
        <f>BO73*BO70+BN130</f>
        <v>-93.775</v>
      </c>
      <c r="BP130" s="579">
        <f>BP87</f>
        <v>-93.776</v>
      </c>
      <c r="BQ130" s="580">
        <f>BQ73*BQ70</f>
        <v>0</v>
      </c>
      <c r="BR130" s="580">
        <f>BR73*BR70+BQ130</f>
        <v>0</v>
      </c>
      <c r="BS130" s="580">
        <f>BS73*BS70+BR130</f>
        <v>-5.163</v>
      </c>
      <c r="BT130" s="580">
        <f>BT73*BT70+BS130</f>
        <v>-31.178</v>
      </c>
      <c r="BU130" s="579">
        <f>BU87</f>
        <v>-31.178</v>
      </c>
      <c r="BV130" s="580">
        <f>BV73*BV70</f>
        <v>0</v>
      </c>
      <c r="BW130" s="580">
        <f>BW73*BW70+BV130</f>
        <v>0</v>
      </c>
      <c r="BX130" s="580">
        <f>BX73*BX70+BW130</f>
        <v>0</v>
      </c>
      <c r="BY130" s="580">
        <f>BY73*BY70+BX130</f>
        <v>0</v>
      </c>
      <c r="BZ130" s="579">
        <f>BZ87</f>
        <v>0</v>
      </c>
      <c r="CA130" s="580">
        <f>CA73*CA70</f>
        <v>0</v>
      </c>
      <c r="CB130" s="580">
        <f>CB73*CB70+CA130</f>
        <v>-9.497</v>
      </c>
      <c r="CC130" s="580">
        <f>CC73*CC70+CB130</f>
        <v>-17.132</v>
      </c>
      <c r="CD130" s="580">
        <f>CD73*CD70+CC130</f>
        <v>-24.664</v>
      </c>
      <c r="CE130" s="579">
        <f>CE87</f>
        <v>-24.664</v>
      </c>
      <c r="CF130" s="580">
        <f>CF73*CF70</f>
        <v>-7.292</v>
      </c>
      <c r="CG130" s="580">
        <f>CG73*CG70+CF130</f>
        <v>-15.001</v>
      </c>
      <c r="CH130" s="580">
        <f>CH73*CH70+CG130</f>
        <v>-38.517</v>
      </c>
      <c r="CI130" s="580">
        <f>CI73*CI70+CH130</f>
        <v>-39.977</v>
      </c>
      <c r="CJ130" s="579">
        <f>CJ87</f>
        <v>-39.977</v>
      </c>
      <c r="CK130" s="580">
        <f>CK73*CK70</f>
        <v>0</v>
      </c>
      <c r="CL130" s="580">
        <f>CL73*CL70+CK130</f>
        <v>8.519</v>
      </c>
      <c r="CM130" s="580">
        <f>CM73*CM70+CL130</f>
        <v>8.519</v>
      </c>
      <c r="CN130" s="580">
        <f>CN73*CN70+CM130</f>
        <v>-434.151</v>
      </c>
      <c r="CO130" s="579">
        <f>CO87</f>
        <v>-434.151</v>
      </c>
      <c r="CP130" s="580">
        <f>CP73*CP70</f>
        <v>0</v>
      </c>
      <c r="CQ130" s="580">
        <f>CQ73*CQ70+CP130</f>
        <v>0</v>
      </c>
      <c r="CR130" s="580">
        <f>CR73*CR70+CQ130</f>
        <v>-72.125</v>
      </c>
      <c r="CS130" s="580">
        <f>CS73*CS70+CR130</f>
        <v>-72.125</v>
      </c>
      <c r="CT130" s="579">
        <f>CT87</f>
        <v>-72.125</v>
      </c>
      <c r="CU130" s="580">
        <f>CU73*CU70</f>
        <v>0</v>
      </c>
      <c r="CV130" s="580">
        <f>CV73*CV70+CU130</f>
        <v>0</v>
      </c>
      <c r="CW130" s="580">
        <f>CW73*CW70+CV130</f>
        <v>0</v>
      </c>
      <c r="CX130" s="580">
        <f>CX73*CX70+CW130</f>
        <v>0</v>
      </c>
      <c r="CY130" s="579">
        <f>CY87</f>
        <v>0</v>
      </c>
      <c r="CZ130" s="580">
        <f>CZ73*CZ70</f>
        <v>0</v>
      </c>
      <c r="DA130" s="580">
        <f>DA73*DA70+CZ130</f>
        <v>0</v>
      </c>
      <c r="DB130" s="580">
        <f>DB73*DB70+DA130</f>
        <v>0</v>
      </c>
      <c r="DC130" s="580">
        <f>DC73*DC70+DB130</f>
        <v>0</v>
      </c>
      <c r="DD130" s="579">
        <f>DD87</f>
        <v>0</v>
      </c>
      <c r="DE130" s="580">
        <f>DE73*DE70</f>
        <v>0</v>
      </c>
      <c r="DF130" s="580">
        <f>DF73*DF70+DE130</f>
        <v>0</v>
      </c>
      <c r="DG130" s="580"/>
      <c r="DH130" s="580"/>
      <c r="DI130" s="579"/>
      <c r="DJ130" s="580"/>
      <c r="DK130" s="580"/>
      <c r="DL130" s="580"/>
      <c r="DM130" s="580"/>
      <c r="DN130" s="579"/>
      <c r="DO130" s="580"/>
      <c r="DP130" s="580"/>
      <c r="DQ130" s="580"/>
      <c r="DR130" s="580"/>
      <c r="DS130" s="579"/>
    </row>
    <row r="131" hidden="1" outlineLevel="1" spans="1:123">
      <c r="A131" s="6"/>
      <c r="B131" s="609"/>
      <c r="C131" s="579"/>
      <c r="D131" s="580"/>
      <c r="E131" s="580"/>
      <c r="F131" s="580"/>
      <c r="G131" s="580"/>
      <c r="H131" s="579"/>
      <c r="I131" s="580"/>
      <c r="J131" s="580"/>
      <c r="K131" s="580"/>
      <c r="L131" s="580"/>
      <c r="M131" s="579"/>
      <c r="N131" s="580"/>
      <c r="O131" s="580"/>
      <c r="P131" s="580"/>
      <c r="Q131" s="580"/>
      <c r="R131" s="579"/>
      <c r="S131" s="580"/>
      <c r="T131" s="580"/>
      <c r="U131" s="580"/>
      <c r="V131" s="580"/>
      <c r="W131" s="579"/>
      <c r="X131" s="580"/>
      <c r="Y131" s="580"/>
      <c r="Z131" s="580"/>
      <c r="AA131" s="580"/>
      <c r="AB131" s="579"/>
      <c r="AC131" s="580"/>
      <c r="AD131" s="580"/>
      <c r="AE131" s="580"/>
      <c r="AF131" s="580"/>
      <c r="AG131" s="579"/>
      <c r="AH131" s="580"/>
      <c r="AI131" s="580"/>
      <c r="AJ131" s="580"/>
      <c r="AK131" s="580"/>
      <c r="AL131" s="579"/>
      <c r="AM131" s="580"/>
      <c r="AN131" s="580"/>
      <c r="AO131" s="580"/>
      <c r="AP131" s="580"/>
      <c r="AQ131" s="579"/>
      <c r="AR131" s="580"/>
      <c r="AS131" s="580"/>
      <c r="AT131" s="580"/>
      <c r="AU131" s="580"/>
      <c r="AV131" s="579"/>
      <c r="AW131" s="580"/>
      <c r="AX131" s="580"/>
      <c r="AY131" s="580"/>
      <c r="AZ131" s="580"/>
      <c r="BA131" s="579"/>
      <c r="BB131" s="580"/>
      <c r="BC131" s="580"/>
      <c r="BD131" s="580"/>
      <c r="BE131" s="580"/>
      <c r="BF131" s="579"/>
      <c r="BG131" s="580"/>
      <c r="BH131" s="580"/>
      <c r="BI131" s="580"/>
      <c r="BJ131" s="580"/>
      <c r="BK131" s="579"/>
      <c r="BL131" s="580"/>
      <c r="BM131" s="580"/>
      <c r="BN131" s="580"/>
      <c r="BO131" s="580"/>
      <c r="BP131" s="579"/>
      <c r="BQ131" s="580"/>
      <c r="BR131" s="580"/>
      <c r="BS131" s="580"/>
      <c r="BT131" s="580"/>
      <c r="BU131" s="579"/>
      <c r="BV131" s="580"/>
      <c r="BW131" s="580"/>
      <c r="BX131" s="580"/>
      <c r="BY131" s="580"/>
      <c r="BZ131" s="579"/>
      <c r="CA131" s="580"/>
      <c r="CB131" s="580"/>
      <c r="CC131" s="580"/>
      <c r="CD131" s="580"/>
      <c r="CE131" s="579"/>
      <c r="CF131" s="580"/>
      <c r="CG131" s="580"/>
      <c r="CH131" s="580"/>
      <c r="CI131" s="580"/>
      <c r="CJ131" s="579"/>
      <c r="CK131" s="580"/>
      <c r="CL131" s="580"/>
      <c r="CM131" s="580"/>
      <c r="CN131" s="580"/>
      <c r="CO131" s="579"/>
      <c r="CP131" s="580"/>
      <c r="CQ131" s="580"/>
      <c r="CR131" s="580"/>
      <c r="CS131" s="580"/>
      <c r="CT131" s="579"/>
      <c r="CU131" s="580"/>
      <c r="CV131" s="580"/>
      <c r="CW131" s="580"/>
      <c r="CX131" s="580"/>
      <c r="CY131" s="579"/>
      <c r="CZ131" s="580"/>
      <c r="DA131" s="580"/>
      <c r="DB131" s="580"/>
      <c r="DC131" s="580"/>
      <c r="DD131" s="579"/>
      <c r="DE131" s="580"/>
      <c r="DF131" s="580"/>
      <c r="DG131" s="580"/>
      <c r="DH131" s="580"/>
      <c r="DI131" s="579"/>
      <c r="DJ131" s="580"/>
      <c r="DK131" s="580"/>
      <c r="DL131" s="580"/>
      <c r="DM131" s="580"/>
      <c r="DN131" s="579"/>
      <c r="DO131" s="580"/>
      <c r="DP131" s="580"/>
      <c r="DQ131" s="580"/>
      <c r="DR131" s="580"/>
      <c r="DS131" s="579"/>
    </row>
    <row r="132" hidden="1" outlineLevel="1" spans="1:123">
      <c r="A132" s="6"/>
      <c r="B132" s="609" t="s">
        <v>100</v>
      </c>
      <c r="C132" s="579"/>
      <c r="D132" s="580"/>
      <c r="E132" s="580"/>
      <c r="F132" s="580"/>
      <c r="G132" s="580"/>
      <c r="H132" s="579"/>
      <c r="I132" s="580"/>
      <c r="J132" s="580"/>
      <c r="K132" s="580"/>
      <c r="L132" s="580"/>
      <c r="M132" s="579">
        <v>7.976377</v>
      </c>
      <c r="N132" s="580"/>
      <c r="O132" s="580"/>
      <c r="P132" s="580"/>
      <c r="Q132" s="580"/>
      <c r="R132" s="579">
        <v>32.115881</v>
      </c>
      <c r="S132" s="580"/>
      <c r="T132" s="580"/>
      <c r="U132" s="580"/>
      <c r="V132" s="580"/>
      <c r="W132" s="579">
        <v>40.501592</v>
      </c>
      <c r="X132" s="580"/>
      <c r="Y132" s="580"/>
      <c r="Z132" s="580"/>
      <c r="AA132" s="580"/>
      <c r="AB132" s="579">
        <v>58.281</v>
      </c>
      <c r="AC132" s="580"/>
      <c r="AD132" s="580"/>
      <c r="AE132" s="580"/>
      <c r="AF132" s="580"/>
      <c r="AG132" s="579">
        <f>SUM(AG129:AG130)</f>
        <v>122.197</v>
      </c>
      <c r="AH132" s="580">
        <f>AH130+AH129</f>
        <v>33.516</v>
      </c>
      <c r="AI132" s="580">
        <f>AI130+AI129</f>
        <v>72.134</v>
      </c>
      <c r="AJ132" s="580">
        <f>AJ130+AJ129</f>
        <v>111.075</v>
      </c>
      <c r="AK132" s="580">
        <f>AK130+AK129</f>
        <v>184.964</v>
      </c>
      <c r="AL132" s="579">
        <f>SUM(AL129:AL130)</f>
        <v>184.964</v>
      </c>
      <c r="AM132" s="580">
        <f>AM130+AM129</f>
        <v>46.974</v>
      </c>
      <c r="AN132" s="580">
        <f>AN130+AN129</f>
        <v>104.676</v>
      </c>
      <c r="AO132" s="580">
        <f>AO130+AO129</f>
        <v>162.056</v>
      </c>
      <c r="AP132" s="580">
        <f>AP130+AP129</f>
        <v>271.431</v>
      </c>
      <c r="AQ132" s="579">
        <f>SUM(AQ129:AQ130)</f>
        <v>271.431</v>
      </c>
      <c r="AR132" s="580">
        <f>AR130+AR129</f>
        <v>47.2790000000001</v>
      </c>
      <c r="AS132" s="580">
        <f>AS130+AS129</f>
        <v>103.744</v>
      </c>
      <c r="AT132" s="580">
        <f>AT130+AT129</f>
        <v>169.855</v>
      </c>
      <c r="AU132" s="580">
        <f>AU130+AU129</f>
        <v>279.547</v>
      </c>
      <c r="AV132" s="579">
        <f>SUM(AV129:AV130)</f>
        <v>279.547</v>
      </c>
      <c r="AW132" s="580">
        <f>AW130+AW129</f>
        <v>18.981</v>
      </c>
      <c r="AX132" s="580">
        <f>AX130+AX129</f>
        <v>67.748</v>
      </c>
      <c r="AY132" s="580">
        <f>AY130+AY129</f>
        <v>128.199</v>
      </c>
      <c r="AZ132" s="580">
        <f>AZ130+AZ129</f>
        <v>239.033</v>
      </c>
      <c r="BA132" s="579">
        <f>SUM(BA129:BA130)</f>
        <v>239.033</v>
      </c>
      <c r="BB132" s="580">
        <f>BB130+BB129</f>
        <v>47.81</v>
      </c>
      <c r="BC132" s="580">
        <f>BC130+BC129</f>
        <v>95.4780000000001</v>
      </c>
      <c r="BD132" s="580">
        <f>BD130+BD129</f>
        <v>148.624</v>
      </c>
      <c r="BE132" s="580">
        <f>BE130+BE129</f>
        <v>266.04</v>
      </c>
      <c r="BF132" s="579">
        <f>SUM(BF129:BF130)</f>
        <v>266.047</v>
      </c>
      <c r="BG132" s="580">
        <f>BG130+BG129</f>
        <v>45.336</v>
      </c>
      <c r="BH132" s="580">
        <f>BH130+BH129</f>
        <v>98.961</v>
      </c>
      <c r="BI132" s="580">
        <f>BI130+BI129</f>
        <v>167.246</v>
      </c>
      <c r="BJ132" s="580">
        <f>BJ130+BJ129</f>
        <v>303.379284</v>
      </c>
      <c r="BK132" s="579">
        <f>SUM(BK129:BK130)</f>
        <v>303.569700614661</v>
      </c>
      <c r="BL132" s="580">
        <f>BL130+BL129</f>
        <v>31.246</v>
      </c>
      <c r="BM132" s="580">
        <f>BM130+BM129</f>
        <v>79.9570000000001</v>
      </c>
      <c r="BN132" s="580">
        <f>BN130+BN129</f>
        <v>138.917</v>
      </c>
      <c r="BO132" s="580">
        <f>BO130+BO129</f>
        <v>258.678</v>
      </c>
      <c r="BP132" s="579">
        <f>BP129+BP130</f>
        <v>258.661</v>
      </c>
      <c r="BQ132" s="580">
        <f>BQ130+BQ129</f>
        <v>75.153</v>
      </c>
      <c r="BR132" s="580">
        <f>BR130+BR129</f>
        <v>170.923</v>
      </c>
      <c r="BS132" s="580">
        <f>BS130+BS129</f>
        <v>265.336</v>
      </c>
      <c r="BT132" s="580">
        <f>BT130+BT129</f>
        <v>483.801</v>
      </c>
      <c r="BU132" s="579">
        <f>BU129+BU130</f>
        <v>483.801</v>
      </c>
      <c r="BV132" s="580">
        <f>BV130+BV129</f>
        <v>96.603</v>
      </c>
      <c r="BW132" s="580">
        <f>BW130+BW129</f>
        <v>221.593</v>
      </c>
      <c r="BX132" s="580">
        <f>BX130+BX129</f>
        <v>347.575</v>
      </c>
      <c r="BY132" s="580">
        <f>BY130+BY129</f>
        <v>645.596</v>
      </c>
      <c r="BZ132" s="579">
        <f>BZ129+BZ130</f>
        <v>645.596</v>
      </c>
      <c r="CA132" s="580">
        <f>CA130+CA129</f>
        <v>28.632</v>
      </c>
      <c r="CB132" s="580">
        <f>CB130+CB129</f>
        <v>115.433</v>
      </c>
      <c r="CC132" s="580">
        <f>CC130+CC129</f>
        <v>259.076</v>
      </c>
      <c r="CD132" s="580">
        <f>CD130+CD129</f>
        <v>588.915</v>
      </c>
      <c r="CE132" s="579">
        <f>CE129+CE130</f>
        <v>588.915</v>
      </c>
      <c r="CF132" s="580">
        <f>CF130+CF129</f>
        <v>144.956</v>
      </c>
      <c r="CG132" s="580">
        <f>CG130+CG129</f>
        <v>353.03</v>
      </c>
      <c r="CH132" s="580">
        <f>CH130+CH129</f>
        <v>540.818</v>
      </c>
      <c r="CI132" s="580">
        <f>CI130+CI129</f>
        <v>975.322</v>
      </c>
      <c r="CJ132" s="579">
        <f>CJ129+CJ130</f>
        <v>975.322</v>
      </c>
      <c r="CK132" s="580">
        <f>CK130+CK129</f>
        <v>189.998</v>
      </c>
      <c r="CL132" s="580">
        <f>CL130+CL129</f>
        <v>479.519</v>
      </c>
      <c r="CM132" s="580">
        <f>CM130+CM129</f>
        <v>734.989</v>
      </c>
      <c r="CN132" s="580">
        <f>CN130+CN129</f>
        <v>854.8</v>
      </c>
      <c r="CO132" s="579">
        <f>CO129+CO130</f>
        <v>854.8</v>
      </c>
      <c r="CP132" s="580">
        <f>CP130+CP129</f>
        <v>290.405</v>
      </c>
      <c r="CQ132" s="580">
        <f>CQ130+CQ129</f>
        <v>632.008</v>
      </c>
      <c r="CR132" s="580">
        <f>CR130+CR129</f>
        <v>880.722</v>
      </c>
      <c r="CS132" s="580">
        <f>CS130+CS129</f>
        <v>1550.19</v>
      </c>
      <c r="CT132" s="579">
        <f>CT129+CT130</f>
        <v>1550.19</v>
      </c>
      <c r="CU132" s="580">
        <f>CU130+CU129</f>
        <v>321.421</v>
      </c>
      <c r="CV132" s="580">
        <f>CV130+CV129</f>
        <v>714.343</v>
      </c>
      <c r="CW132" s="580">
        <f>CW130+CW129</f>
        <v>1066.213</v>
      </c>
      <c r="CX132" s="580">
        <f>CX130+CX129</f>
        <v>1814.616</v>
      </c>
      <c r="CY132" s="579">
        <f>CY129+CY130</f>
        <v>1814.616</v>
      </c>
      <c r="CZ132" s="580">
        <f>CZ130+CZ129</f>
        <v>314.572</v>
      </c>
      <c r="DA132" s="580">
        <f>DA130+DA129</f>
        <v>685.477</v>
      </c>
      <c r="DB132" s="580">
        <f>DB130+DB129</f>
        <v>992.312</v>
      </c>
      <c r="DC132" s="580">
        <f>DC130+DC129</f>
        <v>1579.183</v>
      </c>
      <c r="DD132" s="579">
        <f>DD129+DD130</f>
        <v>1579.183</v>
      </c>
      <c r="DE132" s="580">
        <f>DE130+DE129</f>
        <v>195.048</v>
      </c>
      <c r="DF132" s="580">
        <f>DF130+DF129</f>
        <v>524.271</v>
      </c>
      <c r="DG132" s="580"/>
      <c r="DH132" s="580"/>
      <c r="DI132" s="579"/>
      <c r="DJ132" s="580"/>
      <c r="DK132" s="580"/>
      <c r="DL132" s="580"/>
      <c r="DM132" s="580"/>
      <c r="DN132" s="579"/>
      <c r="DO132" s="580"/>
      <c r="DP132" s="580"/>
      <c r="DQ132" s="580"/>
      <c r="DR132" s="580"/>
      <c r="DS132" s="579"/>
    </row>
    <row r="133" hidden="1" outlineLevel="1" spans="1:123">
      <c r="A133" s="6"/>
      <c r="B133" s="609" t="s">
        <v>101</v>
      </c>
      <c r="C133" s="579"/>
      <c r="D133" s="580"/>
      <c r="E133" s="580"/>
      <c r="F133" s="580"/>
      <c r="G133" s="580"/>
      <c r="H133" s="579"/>
      <c r="I133" s="580"/>
      <c r="J133" s="580"/>
      <c r="K133" s="580"/>
      <c r="L133" s="580"/>
      <c r="M133" s="579">
        <v>4.586646</v>
      </c>
      <c r="N133" s="580"/>
      <c r="O133" s="580"/>
      <c r="P133" s="580"/>
      <c r="Q133" s="580"/>
      <c r="R133" s="579">
        <v>8.291254</v>
      </c>
      <c r="S133" s="580"/>
      <c r="T133" s="580"/>
      <c r="U133" s="580"/>
      <c r="V133" s="580"/>
      <c r="W133" s="579">
        <v>15.82295</v>
      </c>
      <c r="X133" s="580"/>
      <c r="Y133" s="580"/>
      <c r="Z133" s="580"/>
      <c r="AA133" s="580"/>
      <c r="AB133" s="579">
        <v>20.832</v>
      </c>
      <c r="AC133" s="580"/>
      <c r="AD133" s="580"/>
      <c r="AE133" s="580"/>
      <c r="AF133" s="580"/>
      <c r="AG133" s="579">
        <v>24.614</v>
      </c>
      <c r="AH133" s="580">
        <v>6.041</v>
      </c>
      <c r="AI133" s="580">
        <v>13.561</v>
      </c>
      <c r="AJ133" s="580">
        <v>20.888</v>
      </c>
      <c r="AK133" s="580">
        <v>30.259</v>
      </c>
      <c r="AL133" s="579">
        <v>30.259</v>
      </c>
      <c r="AM133" s="580">
        <v>9.798</v>
      </c>
      <c r="AN133" s="580">
        <v>19.479</v>
      </c>
      <c r="AO133" s="580">
        <v>30.962</v>
      </c>
      <c r="AP133" s="580">
        <v>43</v>
      </c>
      <c r="AQ133" s="579">
        <v>43</v>
      </c>
      <c r="AR133" s="580">
        <v>11.729</v>
      </c>
      <c r="AS133" s="580">
        <v>23.807</v>
      </c>
      <c r="AT133" s="580">
        <v>36.723</v>
      </c>
      <c r="AU133" s="580">
        <v>49.068</v>
      </c>
      <c r="AV133" s="579">
        <v>49.068</v>
      </c>
      <c r="AW133" s="580">
        <v>12.46</v>
      </c>
      <c r="AX133" s="580">
        <v>26.097</v>
      </c>
      <c r="AY133" s="580">
        <v>41.709</v>
      </c>
      <c r="AZ133" s="580">
        <v>58.364</v>
      </c>
      <c r="BA133" s="579">
        <v>58.364</v>
      </c>
      <c r="BB133" s="580">
        <v>16.096</v>
      </c>
      <c r="BC133" s="580">
        <v>32.791</v>
      </c>
      <c r="BD133" s="580">
        <v>52.498</v>
      </c>
      <c r="BE133" s="580">
        <v>73.383</v>
      </c>
      <c r="BF133" s="579">
        <v>73.383</v>
      </c>
      <c r="BG133" s="580">
        <v>19.185</v>
      </c>
      <c r="BH133" s="580">
        <v>39.683</v>
      </c>
      <c r="BI133" s="580">
        <v>63.641</v>
      </c>
      <c r="BJ133" s="580">
        <v>87.697</v>
      </c>
      <c r="BK133" s="579">
        <v>87.697</v>
      </c>
      <c r="BL133" s="580">
        <v>23.163</v>
      </c>
      <c r="BM133" s="580">
        <v>51.569</v>
      </c>
      <c r="BN133" s="580">
        <v>80.129</v>
      </c>
      <c r="BO133" s="580">
        <v>108.235</v>
      </c>
      <c r="BP133" s="579">
        <f>BO133</f>
        <v>108.235</v>
      </c>
      <c r="BQ133" s="580">
        <v>26.773</v>
      </c>
      <c r="BR133" s="580">
        <v>55.429</v>
      </c>
      <c r="BS133" s="580">
        <v>87.115</v>
      </c>
      <c r="BT133" s="580">
        <v>122.484</v>
      </c>
      <c r="BU133" s="579">
        <f>BT133</f>
        <v>122.484</v>
      </c>
      <c r="BV133" s="580">
        <v>32.823</v>
      </c>
      <c r="BW133" s="580">
        <v>70.422</v>
      </c>
      <c r="BX133" s="580">
        <v>114.444</v>
      </c>
      <c r="BY133" s="580">
        <v>161.933</v>
      </c>
      <c r="BZ133" s="579">
        <f>BY133</f>
        <v>161.933</v>
      </c>
      <c r="CA133" s="580">
        <v>43.532</v>
      </c>
      <c r="CB133" s="580">
        <v>84.176</v>
      </c>
      <c r="CC133" s="580">
        <v>133.209</v>
      </c>
      <c r="CD133" s="580">
        <v>185.478</v>
      </c>
      <c r="CE133" s="579">
        <f>CD133</f>
        <v>185.478</v>
      </c>
      <c r="CF133" s="580">
        <v>50.485</v>
      </c>
      <c r="CG133" s="580">
        <v>104.123</v>
      </c>
      <c r="CH133" s="580">
        <v>162.086</v>
      </c>
      <c r="CI133" s="580">
        <v>224.206</v>
      </c>
      <c r="CJ133" s="579">
        <f>CI133</f>
        <v>224.206</v>
      </c>
      <c r="CK133" s="580">
        <v>64.47</v>
      </c>
      <c r="CL133" s="580">
        <v>132.441</v>
      </c>
      <c r="CM133" s="580">
        <v>211.629</v>
      </c>
      <c r="CN133" s="580">
        <f>291.791</f>
        <v>291.791</v>
      </c>
      <c r="CO133" s="579">
        <f>CN133</f>
        <v>291.791</v>
      </c>
      <c r="CP133" s="580">
        <v>84.116</v>
      </c>
      <c r="CQ133" s="580">
        <v>178.125</v>
      </c>
      <c r="CR133" s="580">
        <v>276.094</v>
      </c>
      <c r="CS133" s="580">
        <v>379.384</v>
      </c>
      <c r="CT133" s="579">
        <f>CS133</f>
        <v>379.384</v>
      </c>
      <c r="CU133" s="580">
        <v>95.759</v>
      </c>
      <c r="CV133" s="580">
        <v>199.332</v>
      </c>
      <c r="CW133" s="580">
        <v>312.931</v>
      </c>
      <c r="CX133" s="580">
        <v>446.524</v>
      </c>
      <c r="CY133" s="579">
        <f>CX133</f>
        <v>446.524</v>
      </c>
      <c r="CZ133" s="580">
        <v>114.529</v>
      </c>
      <c r="DA133" s="580">
        <v>234.244</v>
      </c>
      <c r="DB133" s="580">
        <v>361.703</v>
      </c>
      <c r="DC133" s="580">
        <v>496.228</v>
      </c>
      <c r="DD133" s="579">
        <f>DC133</f>
        <v>496.228</v>
      </c>
      <c r="DE133" s="580">
        <v>135.335</v>
      </c>
      <c r="DF133" s="580">
        <v>277.667</v>
      </c>
      <c r="DG133" s="580"/>
      <c r="DH133" s="580"/>
      <c r="DI133" s="579"/>
      <c r="DJ133" s="580"/>
      <c r="DK133" s="580"/>
      <c r="DL133" s="580"/>
      <c r="DM133" s="580"/>
      <c r="DN133" s="579"/>
      <c r="DO133" s="580"/>
      <c r="DP133" s="580"/>
      <c r="DQ133" s="580"/>
      <c r="DR133" s="580"/>
      <c r="DS133" s="579"/>
    </row>
    <row r="134" hidden="1" outlineLevel="1" spans="1:123">
      <c r="A134" s="6"/>
      <c r="B134" s="609" t="s">
        <v>102</v>
      </c>
      <c r="C134" s="579"/>
      <c r="D134" s="580"/>
      <c r="E134" s="580"/>
      <c r="F134" s="580"/>
      <c r="G134" s="580"/>
      <c r="H134" s="579"/>
      <c r="I134" s="580"/>
      <c r="J134" s="580"/>
      <c r="K134" s="580"/>
      <c r="L134" s="580"/>
      <c r="M134" s="579">
        <v>2.641564</v>
      </c>
      <c r="N134" s="580"/>
      <c r="O134" s="580"/>
      <c r="P134" s="580"/>
      <c r="Q134" s="580"/>
      <c r="R134" s="579">
        <v>5.947097</v>
      </c>
      <c r="S134" s="580"/>
      <c r="T134" s="580"/>
      <c r="U134" s="580"/>
      <c r="V134" s="580"/>
      <c r="W134" s="579">
        <v>6.532308</v>
      </c>
      <c r="X134" s="580"/>
      <c r="Y134" s="580"/>
      <c r="Z134" s="580"/>
      <c r="AA134" s="580"/>
      <c r="AB134" s="579">
        <v>5.616</v>
      </c>
      <c r="AC134" s="580"/>
      <c r="AD134" s="580"/>
      <c r="AE134" s="580"/>
      <c r="AF134" s="580"/>
      <c r="AG134" s="579">
        <v>7.273</v>
      </c>
      <c r="AH134" s="580">
        <v>2.729</v>
      </c>
      <c r="AI134" s="580">
        <v>5.066</v>
      </c>
      <c r="AJ134" s="580">
        <v>7.745</v>
      </c>
      <c r="AK134" s="580">
        <v>10.34</v>
      </c>
      <c r="AL134" s="579">
        <v>10.34</v>
      </c>
      <c r="AM134" s="580">
        <v>3.891</v>
      </c>
      <c r="AN134" s="580">
        <v>8.04</v>
      </c>
      <c r="AO134" s="580">
        <v>11.828</v>
      </c>
      <c r="AP134" s="580">
        <v>15.637</v>
      </c>
      <c r="AQ134" s="579">
        <v>15.637</v>
      </c>
      <c r="AR134" s="580">
        <v>0</v>
      </c>
      <c r="AS134" s="580">
        <v>0</v>
      </c>
      <c r="AT134" s="580">
        <v>12.453</v>
      </c>
      <c r="AU134" s="580">
        <v>10.087</v>
      </c>
      <c r="AV134" s="579">
        <v>10.087</v>
      </c>
      <c r="AW134" s="580">
        <v>1.977</v>
      </c>
      <c r="AX134" s="580">
        <v>3.369</v>
      </c>
      <c r="AY134" s="580">
        <v>5.382</v>
      </c>
      <c r="AZ134" s="580">
        <v>8.269</v>
      </c>
      <c r="BA134" s="579">
        <v>8.269</v>
      </c>
      <c r="BB134" s="580">
        <v>2.068</v>
      </c>
      <c r="BC134" s="580">
        <v>6.021</v>
      </c>
      <c r="BD134" s="580">
        <v>6.639</v>
      </c>
      <c r="BE134" s="580">
        <v>10.356</v>
      </c>
      <c r="BF134" s="579">
        <v>10.356</v>
      </c>
      <c r="BG134" s="580">
        <v>3.181</v>
      </c>
      <c r="BH134" s="580">
        <v>8.126</v>
      </c>
      <c r="BI134" s="580">
        <v>12.939</v>
      </c>
      <c r="BJ134" s="580">
        <v>16.822</v>
      </c>
      <c r="BK134" s="579">
        <v>16.822</v>
      </c>
      <c r="BL134" s="580">
        <v>2.73</v>
      </c>
      <c r="BM134" s="580">
        <v>8.71</v>
      </c>
      <c r="BN134" s="580">
        <v>13.048</v>
      </c>
      <c r="BO134" s="580">
        <v>17.61</v>
      </c>
      <c r="BP134" s="579">
        <f>BO134</f>
        <v>17.61</v>
      </c>
      <c r="BQ134" s="580">
        <v>5.193</v>
      </c>
      <c r="BR134" s="580">
        <v>13.048</v>
      </c>
      <c r="BS134" s="580">
        <v>18.616</v>
      </c>
      <c r="BT134" s="580">
        <v>28.568</v>
      </c>
      <c r="BU134" s="579">
        <f>BT134</f>
        <v>28.568</v>
      </c>
      <c r="BV134" s="580">
        <v>10.157</v>
      </c>
      <c r="BW134" s="580">
        <v>22.005</v>
      </c>
      <c r="BX134" s="580">
        <v>36.07</v>
      </c>
      <c r="BY134" s="580">
        <v>45.593</v>
      </c>
      <c r="BZ134" s="579">
        <f>BY134</f>
        <v>45.593</v>
      </c>
      <c r="CA134" s="580">
        <v>6.128</v>
      </c>
      <c r="CB134" s="580">
        <v>21.912</v>
      </c>
      <c r="CC134" s="580">
        <v>37.098</v>
      </c>
      <c r="CD134" s="580">
        <v>50.797</v>
      </c>
      <c r="CE134" s="579">
        <f>CD134</f>
        <v>50.797</v>
      </c>
      <c r="CF134" s="580">
        <v>14.932</v>
      </c>
      <c r="CG134" s="580">
        <v>30.221</v>
      </c>
      <c r="CH134" s="580">
        <v>51.878</v>
      </c>
      <c r="CI134" s="580">
        <v>69.137</v>
      </c>
      <c r="CJ134" s="579">
        <f>CI134</f>
        <v>69.137</v>
      </c>
      <c r="CK134" s="580">
        <v>18.358</v>
      </c>
      <c r="CL134" s="580">
        <v>39.175</v>
      </c>
      <c r="CM134" s="580">
        <v>59.487</v>
      </c>
      <c r="CN134" s="580">
        <v>78.075</v>
      </c>
      <c r="CO134" s="579">
        <f>CN134</f>
        <v>78.075</v>
      </c>
      <c r="CP134" s="580">
        <v>21.301</v>
      </c>
      <c r="CQ134" s="580">
        <v>45.584</v>
      </c>
      <c r="CR134" s="580">
        <v>70.157</v>
      </c>
      <c r="CS134" s="580">
        <v>93.56</v>
      </c>
      <c r="CT134" s="579">
        <f>CS134</f>
        <v>93.56</v>
      </c>
      <c r="CU134" s="580">
        <v>25.758</v>
      </c>
      <c r="CV134" s="580">
        <v>47.325</v>
      </c>
      <c r="CW134" s="580">
        <v>71.494</v>
      </c>
      <c r="CX134" s="580">
        <v>90.011</v>
      </c>
      <c r="CY134" s="579">
        <f>CX134</f>
        <v>90.011</v>
      </c>
      <c r="CZ134" s="580">
        <v>23.091</v>
      </c>
      <c r="DA134" s="580">
        <v>21.247</v>
      </c>
      <c r="DB134" s="580">
        <v>37.805</v>
      </c>
      <c r="DC134" s="580">
        <v>62.203</v>
      </c>
      <c r="DD134" s="579">
        <f>DC134</f>
        <v>62.203</v>
      </c>
      <c r="DE134" s="580">
        <v>29.186</v>
      </c>
      <c r="DF134" s="580">
        <v>50.275</v>
      </c>
      <c r="DG134" s="580"/>
      <c r="DH134" s="580"/>
      <c r="DI134" s="579"/>
      <c r="DJ134" s="580"/>
      <c r="DK134" s="580"/>
      <c r="DL134" s="580"/>
      <c r="DM134" s="580"/>
      <c r="DN134" s="579"/>
      <c r="DO134" s="580"/>
      <c r="DP134" s="580"/>
      <c r="DQ134" s="580"/>
      <c r="DR134" s="580"/>
      <c r="DS134" s="579"/>
    </row>
    <row r="135" hidden="1" outlineLevel="1" spans="1:123">
      <c r="A135" s="6"/>
      <c r="B135" s="609" t="s">
        <v>103</v>
      </c>
      <c r="C135" s="579"/>
      <c r="D135" s="580"/>
      <c r="E135" s="580"/>
      <c r="F135" s="580"/>
      <c r="G135" s="580"/>
      <c r="H135" s="579"/>
      <c r="I135" s="580"/>
      <c r="J135" s="580"/>
      <c r="K135" s="580"/>
      <c r="L135" s="580"/>
      <c r="M135" s="579"/>
      <c r="N135" s="580"/>
      <c r="O135" s="580"/>
      <c r="P135" s="580"/>
      <c r="Q135" s="580"/>
      <c r="R135" s="579"/>
      <c r="S135" s="580"/>
      <c r="T135" s="580"/>
      <c r="U135" s="580"/>
      <c r="V135" s="580"/>
      <c r="W135" s="579"/>
      <c r="X135" s="580"/>
      <c r="Y135" s="580"/>
      <c r="Z135" s="580"/>
      <c r="AA135" s="580"/>
      <c r="AB135" s="579"/>
      <c r="AC135" s="580"/>
      <c r="AD135" s="580"/>
      <c r="AE135" s="580"/>
      <c r="AF135" s="580"/>
      <c r="AG135" s="579"/>
      <c r="AH135" s="580">
        <v>0</v>
      </c>
      <c r="AI135" s="580">
        <v>0</v>
      </c>
      <c r="AJ135" s="580">
        <v>0</v>
      </c>
      <c r="AK135" s="580">
        <v>0</v>
      </c>
      <c r="AL135" s="579">
        <v>0</v>
      </c>
      <c r="AM135" s="580">
        <v>0</v>
      </c>
      <c r="AN135" s="580">
        <v>0</v>
      </c>
      <c r="AO135" s="580">
        <v>0</v>
      </c>
      <c r="AP135" s="580">
        <v>-6.445</v>
      </c>
      <c r="AQ135" s="579">
        <v>-6.445</v>
      </c>
      <c r="AR135" s="580">
        <v>0</v>
      </c>
      <c r="AS135" s="580">
        <v>0</v>
      </c>
      <c r="AT135" s="580">
        <v>0</v>
      </c>
      <c r="AU135" s="580">
        <v>0.82</v>
      </c>
      <c r="AV135" s="579">
        <v>0.82</v>
      </c>
      <c r="AW135" s="580">
        <v>30.946</v>
      </c>
      <c r="AX135" s="580">
        <v>27.85</v>
      </c>
      <c r="AY135" s="580">
        <v>20.95</v>
      </c>
      <c r="AZ135" s="580">
        <v>2.087</v>
      </c>
      <c r="BA135" s="579">
        <v>2.087</v>
      </c>
      <c r="BB135" s="580">
        <v>0</v>
      </c>
      <c r="BC135" s="580">
        <v>-0.011</v>
      </c>
      <c r="BD135" s="580">
        <v>5.105</v>
      </c>
      <c r="BE135" s="580">
        <v>11.142</v>
      </c>
      <c r="BF135" s="579">
        <v>11.142</v>
      </c>
      <c r="BG135" s="580">
        <v>-0.3</v>
      </c>
      <c r="BH135" s="580">
        <v>0</v>
      </c>
      <c r="BI135" s="580">
        <v>0</v>
      </c>
      <c r="BJ135" s="580">
        <v>-17.563</v>
      </c>
      <c r="BK135" s="579">
        <v>-17.563</v>
      </c>
      <c r="BL135" s="580">
        <v>0</v>
      </c>
      <c r="BM135" s="580">
        <v>0</v>
      </c>
      <c r="BN135" s="580">
        <v>-18.385</v>
      </c>
      <c r="BO135" s="580">
        <v>-11.416</v>
      </c>
      <c r="BP135" s="579">
        <f>BO135</f>
        <v>-11.416</v>
      </c>
      <c r="BQ135" s="580">
        <v>0.4</v>
      </c>
      <c r="BR135" s="580">
        <v>2.464</v>
      </c>
      <c r="BS135" s="580">
        <v>2.382</v>
      </c>
      <c r="BT135" s="580">
        <v>16.786</v>
      </c>
      <c r="BU135" s="579">
        <f>BT135</f>
        <v>16.786</v>
      </c>
      <c r="BV135" s="580">
        <v>0</v>
      </c>
      <c r="BW135" s="580">
        <v>0</v>
      </c>
      <c r="BX135" s="580">
        <v>0</v>
      </c>
      <c r="BY135" s="580">
        <v>24.129</v>
      </c>
      <c r="BZ135" s="579">
        <f>BY135</f>
        <v>24.129</v>
      </c>
      <c r="CA135" s="580">
        <v>0</v>
      </c>
      <c r="CB135" s="580">
        <v>0</v>
      </c>
      <c r="CC135" s="580">
        <v>0</v>
      </c>
      <c r="CD135" s="580">
        <v>34.908</v>
      </c>
      <c r="CE135" s="579">
        <f>CD135</f>
        <v>34.908</v>
      </c>
      <c r="CF135" s="580">
        <v>0</v>
      </c>
      <c r="CG135" s="580">
        <v>0</v>
      </c>
      <c r="CH135" s="580">
        <v>0</v>
      </c>
      <c r="CI135" s="580">
        <v>-5.18</v>
      </c>
      <c r="CJ135" s="579">
        <f>CI135</f>
        <v>-5.18</v>
      </c>
      <c r="CK135" s="580">
        <v>0</v>
      </c>
      <c r="CL135" s="580">
        <v>0</v>
      </c>
      <c r="CM135" s="580">
        <v>0</v>
      </c>
      <c r="CN135" s="580">
        <v>3.042</v>
      </c>
      <c r="CO135" s="579">
        <f>CN135</f>
        <v>3.042</v>
      </c>
      <c r="CP135" s="580">
        <v>-0.721</v>
      </c>
      <c r="CQ135" s="580">
        <v>0</v>
      </c>
      <c r="CR135" s="580">
        <v>0</v>
      </c>
      <c r="CS135" s="580">
        <v>-28.383</v>
      </c>
      <c r="CT135" s="579">
        <f>CS135</f>
        <v>-28.383</v>
      </c>
      <c r="CU135" s="580">
        <v>0</v>
      </c>
      <c r="CV135" s="580">
        <v>0</v>
      </c>
      <c r="CW135" s="580">
        <v>0</v>
      </c>
      <c r="CX135" s="580">
        <v>57.451</v>
      </c>
      <c r="CY135" s="579">
        <f>CX135</f>
        <v>57.451</v>
      </c>
      <c r="CZ135" s="580">
        <v>0</v>
      </c>
      <c r="DA135" s="580">
        <v>0</v>
      </c>
      <c r="DB135" s="580">
        <v>0</v>
      </c>
      <c r="DC135" s="580">
        <v>-53.379</v>
      </c>
      <c r="DD135" s="579">
        <f>DC135</f>
        <v>-53.379</v>
      </c>
      <c r="DE135" s="580">
        <v>0</v>
      </c>
      <c r="DF135" s="580">
        <v>0</v>
      </c>
      <c r="DG135" s="580"/>
      <c r="DH135" s="580"/>
      <c r="DI135" s="579"/>
      <c r="DJ135" s="580"/>
      <c r="DK135" s="580"/>
      <c r="DL135" s="580"/>
      <c r="DM135" s="580"/>
      <c r="DN135" s="579"/>
      <c r="DO135" s="580"/>
      <c r="DP135" s="580"/>
      <c r="DQ135" s="580"/>
      <c r="DR135" s="580"/>
      <c r="DS135" s="579"/>
    </row>
    <row r="136" hidden="1" outlineLevel="1" spans="1:123">
      <c r="A136" s="6"/>
      <c r="B136" s="609"/>
      <c r="C136" s="579"/>
      <c r="D136" s="580"/>
      <c r="E136" s="580"/>
      <c r="F136" s="580"/>
      <c r="G136" s="580"/>
      <c r="H136" s="579"/>
      <c r="I136" s="580"/>
      <c r="J136" s="580"/>
      <c r="K136" s="580"/>
      <c r="L136" s="580"/>
      <c r="M136" s="579"/>
      <c r="N136" s="580"/>
      <c r="O136" s="580"/>
      <c r="P136" s="580"/>
      <c r="Q136" s="580"/>
      <c r="R136" s="579"/>
      <c r="S136" s="580"/>
      <c r="T136" s="580"/>
      <c r="U136" s="580"/>
      <c r="V136" s="580"/>
      <c r="W136" s="579"/>
      <c r="X136" s="580"/>
      <c r="Y136" s="580"/>
      <c r="Z136" s="580"/>
      <c r="AA136" s="580"/>
      <c r="AB136" s="579"/>
      <c r="AC136" s="580"/>
      <c r="AD136" s="580"/>
      <c r="AE136" s="580"/>
      <c r="AF136" s="580"/>
      <c r="AG136" s="579"/>
      <c r="AH136" s="580"/>
      <c r="AI136" s="580"/>
      <c r="AJ136" s="580"/>
      <c r="AK136" s="580"/>
      <c r="AL136" s="579"/>
      <c r="AM136" s="580"/>
      <c r="AN136" s="580"/>
      <c r="AO136" s="580"/>
      <c r="AP136" s="580"/>
      <c r="AQ136" s="579"/>
      <c r="AR136" s="580"/>
      <c r="AS136" s="580"/>
      <c r="AT136" s="580"/>
      <c r="AU136" s="580"/>
      <c r="AV136" s="579"/>
      <c r="AW136" s="580"/>
      <c r="AX136" s="580"/>
      <c r="AY136" s="580"/>
      <c r="AZ136" s="580"/>
      <c r="BA136" s="579"/>
      <c r="BB136" s="580"/>
      <c r="BC136" s="580"/>
      <c r="BD136" s="580"/>
      <c r="BE136" s="580"/>
      <c r="BF136" s="579"/>
      <c r="BG136" s="580"/>
      <c r="BH136" s="580"/>
      <c r="BI136" s="580"/>
      <c r="BJ136" s="580"/>
      <c r="BK136" s="579"/>
      <c r="BL136" s="580"/>
      <c r="BM136" s="580"/>
      <c r="BN136" s="580"/>
      <c r="BO136" s="580"/>
      <c r="BP136" s="579"/>
      <c r="BQ136" s="580"/>
      <c r="BR136" s="580"/>
      <c r="BS136" s="580"/>
      <c r="BT136" s="580"/>
      <c r="BU136" s="579"/>
      <c r="BV136" s="580"/>
      <c r="BW136" s="580"/>
      <c r="BX136" s="580"/>
      <c r="BY136" s="580"/>
      <c r="BZ136" s="579"/>
      <c r="CA136" s="580"/>
      <c r="CB136" s="580"/>
      <c r="CC136" s="580"/>
      <c r="CD136" s="580"/>
      <c r="CE136" s="579"/>
      <c r="CF136" s="580"/>
      <c r="CG136" s="580"/>
      <c r="CH136" s="580"/>
      <c r="CI136" s="580"/>
      <c r="CJ136" s="579"/>
      <c r="CK136" s="580"/>
      <c r="CL136" s="580"/>
      <c r="CM136" s="580"/>
      <c r="CN136" s="580"/>
      <c r="CO136" s="579"/>
      <c r="CP136" s="580"/>
      <c r="CQ136" s="580"/>
      <c r="CR136" s="580"/>
      <c r="CS136" s="580"/>
      <c r="CT136" s="579"/>
      <c r="CU136" s="580"/>
      <c r="CV136" s="580"/>
      <c r="CW136" s="580"/>
      <c r="CX136" s="580"/>
      <c r="CY136" s="579"/>
      <c r="CZ136" s="580"/>
      <c r="DA136" s="580"/>
      <c r="DB136" s="580"/>
      <c r="DC136" s="580"/>
      <c r="DD136" s="579"/>
      <c r="DE136" s="580"/>
      <c r="DF136" s="580"/>
      <c r="DG136" s="580"/>
      <c r="DH136" s="580"/>
      <c r="DI136" s="579"/>
      <c r="DJ136" s="580"/>
      <c r="DK136" s="580"/>
      <c r="DL136" s="580"/>
      <c r="DM136" s="580"/>
      <c r="DN136" s="579"/>
      <c r="DO136" s="580"/>
      <c r="DP136" s="580"/>
      <c r="DQ136" s="580"/>
      <c r="DR136" s="580"/>
      <c r="DS136" s="579"/>
    </row>
    <row r="137" hidden="1" outlineLevel="1" spans="1:123">
      <c r="A137" s="6"/>
      <c r="B137" s="609" t="s">
        <v>104</v>
      </c>
      <c r="C137" s="579"/>
      <c r="D137" s="580"/>
      <c r="E137" s="580"/>
      <c r="F137" s="580"/>
      <c r="G137" s="580"/>
      <c r="H137" s="579"/>
      <c r="I137" s="580"/>
      <c r="J137" s="580"/>
      <c r="K137" s="580"/>
      <c r="L137" s="580"/>
      <c r="M137" s="579">
        <v>-1.196101</v>
      </c>
      <c r="N137" s="580"/>
      <c r="O137" s="580"/>
      <c r="P137" s="580"/>
      <c r="Q137" s="580"/>
      <c r="R137" s="579">
        <v>0.412848</v>
      </c>
      <c r="S137" s="580"/>
      <c r="T137" s="580"/>
      <c r="U137" s="580"/>
      <c r="V137" s="580"/>
      <c r="W137" s="579">
        <v>-1.038881</v>
      </c>
      <c r="X137" s="580"/>
      <c r="Y137" s="580"/>
      <c r="Z137" s="580"/>
      <c r="AA137" s="580"/>
      <c r="AB137" s="579">
        <v>-3.796</v>
      </c>
      <c r="AC137" s="580"/>
      <c r="AD137" s="580"/>
      <c r="AE137" s="580"/>
      <c r="AF137" s="580"/>
      <c r="AG137" s="579">
        <v>-0.541</v>
      </c>
      <c r="AH137" s="580">
        <v>-2.557</v>
      </c>
      <c r="AI137" s="580">
        <v>0</v>
      </c>
      <c r="AJ137" s="580">
        <v>0</v>
      </c>
      <c r="AK137" s="580">
        <v>3.743</v>
      </c>
      <c r="AL137" s="579">
        <v>3.743</v>
      </c>
      <c r="AM137" s="580">
        <v>0</v>
      </c>
      <c r="AN137" s="580">
        <v>0</v>
      </c>
      <c r="AO137" s="580">
        <v>0</v>
      </c>
      <c r="AP137" s="580">
        <v>0</v>
      </c>
      <c r="AQ137" s="579">
        <v>0</v>
      </c>
      <c r="AR137" s="580">
        <v>0</v>
      </c>
      <c r="AS137" s="580">
        <v>0</v>
      </c>
      <c r="AT137" s="580">
        <v>0</v>
      </c>
      <c r="AU137" s="580">
        <v>0</v>
      </c>
      <c r="AV137" s="579">
        <v>0</v>
      </c>
      <c r="AW137" s="580">
        <v>0</v>
      </c>
      <c r="AX137" s="580">
        <v>0</v>
      </c>
      <c r="AY137" s="580">
        <v>0</v>
      </c>
      <c r="AZ137" s="580">
        <v>0</v>
      </c>
      <c r="BA137" s="579">
        <v>0</v>
      </c>
      <c r="BB137" s="580">
        <v>0</v>
      </c>
      <c r="BC137" s="580">
        <v>0</v>
      </c>
      <c r="BD137" s="580">
        <v>0</v>
      </c>
      <c r="BE137" s="580">
        <v>0</v>
      </c>
      <c r="BF137" s="579">
        <v>0</v>
      </c>
      <c r="BG137" s="580">
        <v>0</v>
      </c>
      <c r="BH137" s="580">
        <v>0</v>
      </c>
      <c r="BI137" s="580">
        <v>0</v>
      </c>
      <c r="BJ137" s="580">
        <v>0</v>
      </c>
      <c r="BK137" s="579">
        <v>0</v>
      </c>
      <c r="BL137" s="580">
        <v>0</v>
      </c>
      <c r="BM137" s="580">
        <v>0</v>
      </c>
      <c r="BN137" s="580">
        <v>0</v>
      </c>
      <c r="BO137" s="580">
        <v>0</v>
      </c>
      <c r="BP137" s="579">
        <f>BO137</f>
        <v>0</v>
      </c>
      <c r="BQ137" s="580">
        <v>0</v>
      </c>
      <c r="BR137" s="580">
        <v>0</v>
      </c>
      <c r="BS137" s="580">
        <v>0</v>
      </c>
      <c r="BT137" s="580">
        <v>0</v>
      </c>
      <c r="BU137" s="579">
        <f>BT137</f>
        <v>0</v>
      </c>
      <c r="BV137" s="580">
        <v>0</v>
      </c>
      <c r="BW137" s="580">
        <v>0</v>
      </c>
      <c r="BX137" s="580">
        <v>0</v>
      </c>
      <c r="BY137" s="580">
        <v>0</v>
      </c>
      <c r="BZ137" s="579">
        <f>BY137</f>
        <v>0</v>
      </c>
      <c r="CA137" s="580">
        <v>0</v>
      </c>
      <c r="CB137" s="580">
        <v>0</v>
      </c>
      <c r="CC137" s="580">
        <v>0</v>
      </c>
      <c r="CD137" s="580">
        <v>0</v>
      </c>
      <c r="CE137" s="579">
        <f>CD137</f>
        <v>0</v>
      </c>
      <c r="CF137" s="580">
        <v>0</v>
      </c>
      <c r="CG137" s="580">
        <v>0</v>
      </c>
      <c r="CH137" s="580">
        <v>0</v>
      </c>
      <c r="CI137" s="580">
        <v>0</v>
      </c>
      <c r="CJ137" s="579">
        <f>CI137</f>
        <v>0</v>
      </c>
      <c r="CK137" s="580">
        <v>0</v>
      </c>
      <c r="CL137" s="580">
        <v>0</v>
      </c>
      <c r="CM137" s="580">
        <v>0</v>
      </c>
      <c r="CN137" s="580">
        <v>0</v>
      </c>
      <c r="CO137" s="579">
        <f>CN137</f>
        <v>0</v>
      </c>
      <c r="CP137" s="580">
        <v>0</v>
      </c>
      <c r="CQ137" s="580">
        <v>0</v>
      </c>
      <c r="CR137" s="580">
        <v>0</v>
      </c>
      <c r="CS137" s="580">
        <v>0</v>
      </c>
      <c r="CT137" s="579">
        <f>CS137</f>
        <v>0</v>
      </c>
      <c r="CU137" s="580">
        <v>0</v>
      </c>
      <c r="CV137" s="580">
        <v>0</v>
      </c>
      <c r="CW137" s="580">
        <v>0</v>
      </c>
      <c r="CX137" s="580">
        <v>1.626</v>
      </c>
      <c r="CY137" s="579">
        <f>CX137</f>
        <v>1.626</v>
      </c>
      <c r="CZ137" s="580">
        <v>-18.504</v>
      </c>
      <c r="DA137" s="580">
        <v>-15.929</v>
      </c>
      <c r="DB137" s="580">
        <v>-127.419</v>
      </c>
      <c r="DC137" s="580">
        <v>-65.755</v>
      </c>
      <c r="DD137" s="579">
        <f>DC137</f>
        <v>-65.755</v>
      </c>
      <c r="DE137" s="580">
        <v>26.667</v>
      </c>
      <c r="DF137" s="580">
        <v>20.37</v>
      </c>
      <c r="DG137" s="580"/>
      <c r="DH137" s="580"/>
      <c r="DI137" s="579"/>
      <c r="DJ137" s="580"/>
      <c r="DK137" s="580"/>
      <c r="DL137" s="580"/>
      <c r="DM137" s="580"/>
      <c r="DN137" s="579"/>
      <c r="DO137" s="580"/>
      <c r="DP137" s="580"/>
      <c r="DQ137" s="580"/>
      <c r="DR137" s="580"/>
      <c r="DS137" s="579"/>
    </row>
    <row r="138" hidden="1" outlineLevel="1" spans="1:123">
      <c r="A138" s="6"/>
      <c r="B138" s="609" t="s">
        <v>105</v>
      </c>
      <c r="C138" s="579"/>
      <c r="D138" s="580"/>
      <c r="E138" s="580"/>
      <c r="F138" s="580"/>
      <c r="G138" s="580"/>
      <c r="H138" s="579"/>
      <c r="I138" s="580"/>
      <c r="J138" s="580"/>
      <c r="K138" s="580"/>
      <c r="L138" s="580"/>
      <c r="M138" s="579">
        <v>-5.751628</v>
      </c>
      <c r="N138" s="580"/>
      <c r="O138" s="580"/>
      <c r="P138" s="580"/>
      <c r="Q138" s="580"/>
      <c r="R138" s="579">
        <v>-11.217151</v>
      </c>
      <c r="S138" s="580"/>
      <c r="T138" s="580"/>
      <c r="U138" s="580"/>
      <c r="V138" s="580"/>
      <c r="W138" s="579">
        <v>-19.782088</v>
      </c>
      <c r="X138" s="580"/>
      <c r="Y138" s="580"/>
      <c r="Z138" s="580"/>
      <c r="AA138" s="580"/>
      <c r="AB138" s="579">
        <v>11.296</v>
      </c>
      <c r="AC138" s="580"/>
      <c r="AD138" s="580"/>
      <c r="AE138" s="580"/>
      <c r="AF138" s="580"/>
      <c r="AG138" s="579">
        <v>-7.954</v>
      </c>
      <c r="AH138" s="580">
        <v>-5.552</v>
      </c>
      <c r="AI138" s="580">
        <v>-30.164</v>
      </c>
      <c r="AJ138" s="580">
        <v>-70.995</v>
      </c>
      <c r="AK138" s="580">
        <v>-46.072</v>
      </c>
      <c r="AL138" s="579">
        <v>-46.072</v>
      </c>
      <c r="AM138" s="580">
        <v>-2.749</v>
      </c>
      <c r="AN138" s="580">
        <v>-21.468</v>
      </c>
      <c r="AO138" s="580">
        <v>-60.538</v>
      </c>
      <c r="AP138" s="580">
        <v>-51.022</v>
      </c>
      <c r="AQ138" s="579">
        <v>-51.022</v>
      </c>
      <c r="AR138" s="580">
        <v>-6.229</v>
      </c>
      <c r="AS138" s="580">
        <v>-26.141</v>
      </c>
      <c r="AT138" s="580">
        <v>-14.645</v>
      </c>
      <c r="AU138" s="580">
        <v>-37.407</v>
      </c>
      <c r="AV138" s="579">
        <v>-37.407</v>
      </c>
      <c r="AW138" s="580">
        <v>11.241</v>
      </c>
      <c r="AX138" s="580">
        <v>9.98</v>
      </c>
      <c r="AY138" s="580">
        <v>-44.152</v>
      </c>
      <c r="AZ138" s="580">
        <v>-26.806</v>
      </c>
      <c r="BA138" s="579">
        <v>-26.806</v>
      </c>
      <c r="BB138" s="580">
        <v>-25.797</v>
      </c>
      <c r="BC138" s="580">
        <v>-74.01</v>
      </c>
      <c r="BD138" s="580">
        <v>-151.317</v>
      </c>
      <c r="BE138" s="580">
        <v>-83.286</v>
      </c>
      <c r="BF138" s="579">
        <v>-83.286</v>
      </c>
      <c r="BG138" s="580">
        <v>12.912</v>
      </c>
      <c r="BH138" s="580">
        <v>16.947</v>
      </c>
      <c r="BI138" s="580">
        <v>-73.66</v>
      </c>
      <c r="BJ138" s="580">
        <v>-5.403</v>
      </c>
      <c r="BK138" s="579">
        <v>-5.403</v>
      </c>
      <c r="BL138" s="580">
        <v>-13.445</v>
      </c>
      <c r="BM138" s="580">
        <v>-10.041</v>
      </c>
      <c r="BN138" s="580">
        <v>-95.475</v>
      </c>
      <c r="BO138" s="580">
        <v>-21.178</v>
      </c>
      <c r="BP138" s="579">
        <f>BO138</f>
        <v>-21.178</v>
      </c>
      <c r="BQ138" s="580">
        <v>-50.77</v>
      </c>
      <c r="BR138" s="580">
        <v>-73.065</v>
      </c>
      <c r="BS138" s="580">
        <v>-177.89</v>
      </c>
      <c r="BT138" s="580">
        <v>-85.942</v>
      </c>
      <c r="BU138" s="579">
        <f>BT138</f>
        <v>-85.942</v>
      </c>
      <c r="BV138" s="580">
        <v>-42.856</v>
      </c>
      <c r="BW138" s="580">
        <v>-93.358</v>
      </c>
      <c r="BX138" s="580">
        <v>-225.124</v>
      </c>
      <c r="BY138" s="580">
        <v>-117.591</v>
      </c>
      <c r="BZ138" s="579">
        <f>BY138</f>
        <v>-117.591</v>
      </c>
      <c r="CA138" s="580">
        <v>-122.81</v>
      </c>
      <c r="CB138" s="580">
        <v>-138.194</v>
      </c>
      <c r="CC138" s="580">
        <v>-234.154</v>
      </c>
      <c r="CD138" s="580">
        <v>-96.548</v>
      </c>
      <c r="CE138" s="579">
        <f>CD138</f>
        <v>-96.548</v>
      </c>
      <c r="CF138" s="580">
        <v>-74.218</v>
      </c>
      <c r="CG138" s="580">
        <v>-137.364</v>
      </c>
      <c r="CH138" s="580">
        <v>-288.821</v>
      </c>
      <c r="CI138" s="580">
        <v>-323.609</v>
      </c>
      <c r="CJ138" s="579">
        <f>CI138</f>
        <v>-323.609</v>
      </c>
      <c r="CK138" s="580">
        <v>-320.607</v>
      </c>
      <c r="CL138" s="580">
        <v>-510.567</v>
      </c>
      <c r="CM138" s="580">
        <v>-832.024</v>
      </c>
      <c r="CN138" s="580">
        <v>-510.51</v>
      </c>
      <c r="CO138" s="579">
        <f>CN138</f>
        <v>-510.51</v>
      </c>
      <c r="CP138" s="580">
        <v>-155.174</v>
      </c>
      <c r="CQ138" s="580">
        <v>-234.05</v>
      </c>
      <c r="CR138" s="580">
        <v>-301.801</v>
      </c>
      <c r="CS138" s="580">
        <v>66.584</v>
      </c>
      <c r="CT138" s="579">
        <f>CS138</f>
        <v>66.584</v>
      </c>
      <c r="CU138" s="580">
        <v>-36.425</v>
      </c>
      <c r="CV138" s="580">
        <v>-126.076</v>
      </c>
      <c r="CW138" s="580">
        <v>-477.682</v>
      </c>
      <c r="CX138" s="580">
        <v>-156.085</v>
      </c>
      <c r="CY138" s="579">
        <f>CX138</f>
        <v>-156.085</v>
      </c>
      <c r="CZ138" s="580">
        <v>-174.319</v>
      </c>
      <c r="DA138" s="580">
        <v>-237.903</v>
      </c>
      <c r="DB138" s="580">
        <v>-517.484</v>
      </c>
      <c r="DC138" s="580">
        <v>-188.71</v>
      </c>
      <c r="DD138" s="579">
        <f>DC138</f>
        <v>-188.71</v>
      </c>
      <c r="DE138" s="580">
        <v>23.642</v>
      </c>
      <c r="DF138" s="580">
        <v>-14.35</v>
      </c>
      <c r="DG138" s="580"/>
      <c r="DH138" s="580"/>
      <c r="DI138" s="579"/>
      <c r="DJ138" s="580"/>
      <c r="DK138" s="580"/>
      <c r="DL138" s="580"/>
      <c r="DM138" s="580"/>
      <c r="DN138" s="579"/>
      <c r="DO138" s="580"/>
      <c r="DP138" s="580"/>
      <c r="DQ138" s="580"/>
      <c r="DR138" s="580"/>
      <c r="DS138" s="579"/>
    </row>
    <row r="139" hidden="1" outlineLevel="1" spans="1:123">
      <c r="A139" s="6"/>
      <c r="B139" s="609" t="s">
        <v>106</v>
      </c>
      <c r="C139" s="579"/>
      <c r="D139" s="580"/>
      <c r="E139" s="580"/>
      <c r="F139" s="580"/>
      <c r="G139" s="580"/>
      <c r="H139" s="579"/>
      <c r="I139" s="580"/>
      <c r="J139" s="580"/>
      <c r="K139" s="580"/>
      <c r="L139" s="580"/>
      <c r="M139" s="579">
        <f>0.093284+0.420147-0.089444-0.39158-0.76598</f>
        <v>-0.733573</v>
      </c>
      <c r="N139" s="580"/>
      <c r="O139" s="580"/>
      <c r="P139" s="580"/>
      <c r="Q139" s="580"/>
      <c r="R139" s="579">
        <f>-2.262494+2.69695+0.071117-2.379731+0.044351-0.5</f>
        <v>-2.329807</v>
      </c>
      <c r="S139" s="580"/>
      <c r="T139" s="580"/>
      <c r="U139" s="580"/>
      <c r="V139" s="580"/>
      <c r="W139" s="579">
        <f>0.886429+0.85091-0.647406-1.85807-0.133668</f>
        <v>-0.901805</v>
      </c>
      <c r="X139" s="580"/>
      <c r="Y139" s="580"/>
      <c r="Z139" s="580"/>
      <c r="AA139" s="580"/>
      <c r="AB139" s="579">
        <f>0.675-0.178-0.225</f>
        <v>0.272</v>
      </c>
      <c r="AC139" s="580"/>
      <c r="AD139" s="580"/>
      <c r="AE139" s="580"/>
      <c r="AF139" s="580"/>
      <c r="AG139" s="579">
        <f>1.934-2.902</f>
        <v>-0.968</v>
      </c>
      <c r="AH139" s="580">
        <v>-4.286</v>
      </c>
      <c r="AI139" s="580">
        <v>-10.246</v>
      </c>
      <c r="AJ139" s="580">
        <v>0.711</v>
      </c>
      <c r="AK139" s="580">
        <v>0.505</v>
      </c>
      <c r="AL139" s="579">
        <f>2.905-2.4</f>
        <v>0.505</v>
      </c>
      <c r="AM139" s="580">
        <v>-8.011</v>
      </c>
      <c r="AN139" s="580">
        <v>-16.21</v>
      </c>
      <c r="AO139" s="580">
        <v>-16.28</v>
      </c>
      <c r="AP139" s="580">
        <v>-18.304</v>
      </c>
      <c r="AQ139" s="579">
        <f>-7.812-10.492</f>
        <v>-18.304</v>
      </c>
      <c r="AR139" s="580">
        <v>-7.706</v>
      </c>
      <c r="AS139" s="580">
        <v>-17.698</v>
      </c>
      <c r="AT139" s="580">
        <v>-12.124</v>
      </c>
      <c r="AU139" s="580">
        <v>-11.341</v>
      </c>
      <c r="AV139" s="579">
        <f>3.067-14.408</f>
        <v>-11.341</v>
      </c>
      <c r="AW139" s="580">
        <v>5.847</v>
      </c>
      <c r="AX139" s="580">
        <v>0</v>
      </c>
      <c r="AY139" s="580">
        <v>-24.108</v>
      </c>
      <c r="AZ139" s="580">
        <v>-24.047</v>
      </c>
      <c r="BA139" s="579">
        <f>-15.234-8.813</f>
        <v>-24.047</v>
      </c>
      <c r="BB139" s="580">
        <v>-1.944</v>
      </c>
      <c r="BC139" s="580">
        <v>0</v>
      </c>
      <c r="BD139" s="580">
        <v>-89.661</v>
      </c>
      <c r="BE139" s="580">
        <v>-55.926</v>
      </c>
      <c r="BF139" s="579">
        <f>-52.11-3.816</f>
        <v>-55.926</v>
      </c>
      <c r="BG139" s="580">
        <v>-0.568</v>
      </c>
      <c r="BH139" s="580">
        <v>-15.615</v>
      </c>
      <c r="BI139" s="580">
        <v>-44.051</v>
      </c>
      <c r="BJ139" s="580">
        <v>4.807</v>
      </c>
      <c r="BK139" s="579">
        <f>11.537-6.73</f>
        <v>4.807</v>
      </c>
      <c r="BL139" s="580">
        <v>-1.811</v>
      </c>
      <c r="BM139" s="580">
        <v>-2.473</v>
      </c>
      <c r="BN139" s="580">
        <v>-11.32</v>
      </c>
      <c r="BO139" s="580">
        <f>32.242-16.949</f>
        <v>15.293</v>
      </c>
      <c r="BP139" s="579">
        <f>BO139</f>
        <v>15.293</v>
      </c>
      <c r="BQ139" s="580">
        <f>2.021+0.979</f>
        <v>3</v>
      </c>
      <c r="BR139" s="580">
        <f>-7.724-13.255</f>
        <v>-20.979</v>
      </c>
      <c r="BS139" s="580">
        <f>-27.645-20.538</f>
        <v>-48.183</v>
      </c>
      <c r="BT139" s="580">
        <f>-0.437-30.653</f>
        <v>-31.09</v>
      </c>
      <c r="BU139" s="579">
        <f>BT139</f>
        <v>-31.09</v>
      </c>
      <c r="BV139" s="580">
        <f>-16.164-32.816</f>
        <v>-48.98</v>
      </c>
      <c r="BW139" s="580">
        <f>-63.187-45.539</f>
        <v>-108.726</v>
      </c>
      <c r="BX139" s="580">
        <v>-77.33</v>
      </c>
      <c r="BY139" s="580">
        <f>-35.775-81.606</f>
        <v>-117.381</v>
      </c>
      <c r="BZ139" s="579">
        <f>BY139</f>
        <v>-117.381</v>
      </c>
      <c r="CA139" s="580">
        <f>-4.157+-53.358</f>
        <v>-57.515</v>
      </c>
      <c r="CB139" s="580">
        <f>-39.86-76.811</f>
        <v>-116.671</v>
      </c>
      <c r="CC139" s="580">
        <f>-83.113-66.778</f>
        <v>-149.891</v>
      </c>
      <c r="CD139" s="580">
        <f>-53.966-70.999</f>
        <v>-124.965</v>
      </c>
      <c r="CE139" s="579">
        <f>CD139</f>
        <v>-124.965</v>
      </c>
      <c r="CF139" s="580">
        <f>0.767-11.104+1.105</f>
        <v>-9.232</v>
      </c>
      <c r="CG139" s="580">
        <f>21.763-8.337-5.487</f>
        <v>7.939</v>
      </c>
      <c r="CH139" s="580">
        <f>-0.883-43.395</f>
        <v>-44.278</v>
      </c>
      <c r="CI139" s="580">
        <f>20.108-82.404</f>
        <v>-62.296</v>
      </c>
      <c r="CJ139" s="579">
        <f>CI139</f>
        <v>-62.296</v>
      </c>
      <c r="CK139" s="580">
        <f>2.646+4.296-4.523</f>
        <v>2.419</v>
      </c>
      <c r="CL139" s="580">
        <f>-47.51+1.618-15.046</f>
        <v>-60.938</v>
      </c>
      <c r="CM139" s="580">
        <v>-90.512</v>
      </c>
      <c r="CN139" s="580">
        <f>-66.714-113.82</f>
        <v>-180.534</v>
      </c>
      <c r="CO139" s="579">
        <f>CN139</f>
        <v>-180.534</v>
      </c>
      <c r="CP139" s="580">
        <f>3.249+27.511</f>
        <v>30.76</v>
      </c>
      <c r="CQ139" s="580">
        <f>-39.275+37.595-16.554</f>
        <v>-18.234</v>
      </c>
      <c r="CR139" s="580">
        <f>-114.616+41.202-30.513</f>
        <v>-103.927</v>
      </c>
      <c r="CS139" s="580">
        <f>-53.28+47.167+1.908</f>
        <v>-4.205</v>
      </c>
      <c r="CT139" s="579">
        <f>CS139</f>
        <v>-4.205</v>
      </c>
      <c r="CU139" s="580">
        <f>-10.104-22.532</f>
        <v>-32.636</v>
      </c>
      <c r="CV139" s="580">
        <f>-15.968-28.554-48.768</f>
        <v>-93.29</v>
      </c>
      <c r="CW139" s="580">
        <f>-74.915-50.935-60.638</f>
        <v>-186.488</v>
      </c>
      <c r="CX139" s="580">
        <f>-2.031-71.789-73.205</f>
        <v>-147.025</v>
      </c>
      <c r="CY139" s="579">
        <f>CX139</f>
        <v>-147.025</v>
      </c>
      <c r="CZ139" s="580">
        <f>-48.027+22.676</f>
        <v>-25.351</v>
      </c>
      <c r="DA139" s="580">
        <f>-140.974+69.037</f>
        <v>-71.937</v>
      </c>
      <c r="DB139" s="580">
        <f>-248.05+46.697-41.425</f>
        <v>-242.778</v>
      </c>
      <c r="DC139" s="580">
        <f>-170.216+47.779-70.351</f>
        <v>-192.788</v>
      </c>
      <c r="DD139" s="579">
        <f>DC139</f>
        <v>-192.788</v>
      </c>
      <c r="DE139" s="580">
        <f>-69.333+6.159</f>
        <v>-63.174</v>
      </c>
      <c r="DF139" s="580">
        <f>-132.203+16.308</f>
        <v>-115.895</v>
      </c>
      <c r="DG139" s="580"/>
      <c r="DH139" s="580"/>
      <c r="DI139" s="579"/>
      <c r="DJ139" s="580"/>
      <c r="DK139" s="580"/>
      <c r="DL139" s="580"/>
      <c r="DM139" s="580"/>
      <c r="DN139" s="579"/>
      <c r="DO139" s="580"/>
      <c r="DP139" s="580"/>
      <c r="DQ139" s="580"/>
      <c r="DR139" s="580"/>
      <c r="DS139" s="579"/>
    </row>
    <row r="140" hidden="1" outlineLevel="1" spans="1:123">
      <c r="A140" s="6"/>
      <c r="B140" s="609" t="s">
        <v>107</v>
      </c>
      <c r="C140" s="579"/>
      <c r="D140" s="580"/>
      <c r="E140" s="580"/>
      <c r="F140" s="580"/>
      <c r="G140" s="580"/>
      <c r="H140" s="579"/>
      <c r="I140" s="580"/>
      <c r="J140" s="580"/>
      <c r="K140" s="580"/>
      <c r="L140" s="580"/>
      <c r="M140" s="579">
        <v>-1.099306</v>
      </c>
      <c r="N140" s="580"/>
      <c r="O140" s="580"/>
      <c r="P140" s="580"/>
      <c r="Q140" s="580"/>
      <c r="R140" s="579">
        <v>0.540457</v>
      </c>
      <c r="S140" s="580"/>
      <c r="T140" s="580"/>
      <c r="U140" s="580"/>
      <c r="V140" s="580"/>
      <c r="W140" s="579">
        <v>0.831566</v>
      </c>
      <c r="X140" s="580"/>
      <c r="Y140" s="580"/>
      <c r="Z140" s="580"/>
      <c r="AA140" s="580"/>
      <c r="AB140" s="579">
        <v>6.025</v>
      </c>
      <c r="AC140" s="580"/>
      <c r="AD140" s="580"/>
      <c r="AE140" s="580"/>
      <c r="AF140" s="580"/>
      <c r="AG140" s="579">
        <v>-5.167</v>
      </c>
      <c r="AH140" s="580">
        <v>-3.104</v>
      </c>
      <c r="AI140" s="580">
        <v>-2.085</v>
      </c>
      <c r="AJ140" s="580">
        <v>-0.62</v>
      </c>
      <c r="AK140" s="580">
        <v>7.861</v>
      </c>
      <c r="AL140" s="579">
        <v>7.861</v>
      </c>
      <c r="AM140" s="580">
        <v>-10.225</v>
      </c>
      <c r="AN140" s="580">
        <v>-7.601</v>
      </c>
      <c r="AO140" s="580">
        <v>-7.958</v>
      </c>
      <c r="AP140" s="580">
        <v>17.47</v>
      </c>
      <c r="AQ140" s="579">
        <f>-13.481+30.951</f>
        <v>17.47</v>
      </c>
      <c r="AR140" s="580">
        <v>2.709</v>
      </c>
      <c r="AS140" s="580">
        <v>11.667</v>
      </c>
      <c r="AT140" s="580">
        <v>-36.544</v>
      </c>
      <c r="AU140" s="580">
        <v>-23.448</v>
      </c>
      <c r="AV140" s="579">
        <f>11.627-35.075</f>
        <v>-23.448</v>
      </c>
      <c r="AW140" s="580">
        <v>-5.805</v>
      </c>
      <c r="AX140" s="580">
        <v>-5.709</v>
      </c>
      <c r="AY140" s="580">
        <v>-2.98</v>
      </c>
      <c r="AZ140" s="580">
        <v>-2.198</v>
      </c>
      <c r="BA140" s="579">
        <v>-2.198</v>
      </c>
      <c r="BB140" s="580">
        <v>-4.092</v>
      </c>
      <c r="BC140" s="580">
        <v>-1.809</v>
      </c>
      <c r="BD140" s="580">
        <v>-3.448</v>
      </c>
      <c r="BE140" s="580">
        <v>1.247</v>
      </c>
      <c r="BF140" s="579">
        <v>1.247</v>
      </c>
      <c r="BG140" s="580">
        <v>-4.532</v>
      </c>
      <c r="BH140" s="580">
        <v>-2.512</v>
      </c>
      <c r="BI140" s="580">
        <v>-1.558</v>
      </c>
      <c r="BJ140" s="580">
        <v>14.08</v>
      </c>
      <c r="BK140" s="579">
        <v>14.08</v>
      </c>
      <c r="BL140" s="580">
        <v>-15.798</v>
      </c>
      <c r="BM140" s="580">
        <v>-6.784</v>
      </c>
      <c r="BN140" s="580">
        <v>-11.141</v>
      </c>
      <c r="BO140" s="580">
        <v>-1.551</v>
      </c>
      <c r="BP140" s="579">
        <f>BO140</f>
        <v>-1.551</v>
      </c>
      <c r="BQ140" s="580">
        <v>-7.676</v>
      </c>
      <c r="BR140" s="580">
        <v>86.885</v>
      </c>
      <c r="BS140" s="580">
        <v>129.617</v>
      </c>
      <c r="BT140" s="580">
        <v>71.962</v>
      </c>
      <c r="BU140" s="579">
        <f>BT140</f>
        <v>71.962</v>
      </c>
      <c r="BV140" s="580">
        <v>-5.42</v>
      </c>
      <c r="BW140" s="580">
        <v>15.791</v>
      </c>
      <c r="BX140" s="580">
        <v>21.085</v>
      </c>
      <c r="BY140" s="580">
        <v>-14.81</v>
      </c>
      <c r="BZ140" s="579">
        <f>BY140</f>
        <v>-14.81</v>
      </c>
      <c r="CA140" s="580">
        <v>2.222</v>
      </c>
      <c r="CB140" s="580">
        <v>35.967</v>
      </c>
      <c r="CC140" s="580">
        <v>73.596</v>
      </c>
      <c r="CD140" s="580">
        <v>82.663</v>
      </c>
      <c r="CE140" s="579">
        <f>CD140</f>
        <v>82.663</v>
      </c>
      <c r="CF140" s="580">
        <v>19.623</v>
      </c>
      <c r="CG140" s="580">
        <v>28.232</v>
      </c>
      <c r="CH140" s="580">
        <v>50.903</v>
      </c>
      <c r="CI140" s="580">
        <v>117.655</v>
      </c>
      <c r="CJ140" s="579">
        <f>CI140</f>
        <v>117.655</v>
      </c>
      <c r="CK140" s="580">
        <v>20.63</v>
      </c>
      <c r="CL140" s="580">
        <v>-28.249</v>
      </c>
      <c r="CM140" s="580">
        <v>26.537</v>
      </c>
      <c r="CN140" s="580">
        <v>-107.28</v>
      </c>
      <c r="CO140" s="579">
        <f>CN140</f>
        <v>-107.28</v>
      </c>
      <c r="CP140" s="580">
        <v>116.935</v>
      </c>
      <c r="CQ140" s="580">
        <v>126.007</v>
      </c>
      <c r="CR140" s="580">
        <v>141.685</v>
      </c>
      <c r="CS140" s="580">
        <v>177.367</v>
      </c>
      <c r="CT140" s="579">
        <f>CS140</f>
        <v>177.367</v>
      </c>
      <c r="CU140" s="580">
        <v>-82.366</v>
      </c>
      <c r="CV140" s="580">
        <v>-23.683</v>
      </c>
      <c r="CW140" s="580">
        <v>45.579</v>
      </c>
      <c r="CX140" s="580">
        <v>-57.044</v>
      </c>
      <c r="CY140" s="579">
        <f>CX140</f>
        <v>-57.044</v>
      </c>
      <c r="CZ140" s="580">
        <v>22.489</v>
      </c>
      <c r="DA140" s="580">
        <v>91.154</v>
      </c>
      <c r="DB140" s="580">
        <v>72.81</v>
      </c>
      <c r="DC140" s="580">
        <v>45.856</v>
      </c>
      <c r="DD140" s="579">
        <f>DC140</f>
        <v>45.856</v>
      </c>
      <c r="DE140" s="580">
        <v>-37.691</v>
      </c>
      <c r="DF140" s="580">
        <v>21.715</v>
      </c>
      <c r="DG140" s="580"/>
      <c r="DH140" s="580"/>
      <c r="DI140" s="579"/>
      <c r="DJ140" s="580"/>
      <c r="DK140" s="580"/>
      <c r="DL140" s="580"/>
      <c r="DM140" s="580"/>
      <c r="DN140" s="579"/>
      <c r="DO140" s="580"/>
      <c r="DP140" s="580"/>
      <c r="DQ140" s="580"/>
      <c r="DR140" s="580"/>
      <c r="DS140" s="579"/>
    </row>
    <row r="141" hidden="1" outlineLevel="1" spans="1:123">
      <c r="A141" s="6"/>
      <c r="B141" s="609" t="s">
        <v>108</v>
      </c>
      <c r="C141" s="579"/>
      <c r="D141" s="580"/>
      <c r="E141" s="580"/>
      <c r="F141" s="580"/>
      <c r="G141" s="580"/>
      <c r="H141" s="579"/>
      <c r="I141" s="580"/>
      <c r="J141" s="580"/>
      <c r="K141" s="580"/>
      <c r="L141" s="580"/>
      <c r="M141" s="579">
        <f>1.571086+12.626181</f>
        <v>14.197267</v>
      </c>
      <c r="N141" s="580"/>
      <c r="O141" s="580"/>
      <c r="P141" s="580"/>
      <c r="Q141" s="580"/>
      <c r="R141" s="579">
        <f>-0.423221+6.751958</f>
        <v>6.328737</v>
      </c>
      <c r="S141" s="580"/>
      <c r="T141" s="580"/>
      <c r="U141" s="580"/>
      <c r="V141" s="580"/>
      <c r="W141" s="579">
        <f>14.173634+5.980649</f>
        <v>20.154283</v>
      </c>
      <c r="X141" s="580"/>
      <c r="Y141" s="580"/>
      <c r="Z141" s="580"/>
      <c r="AA141" s="580"/>
      <c r="AB141" s="579">
        <f>-3.78+5.886+14.887</f>
        <v>16.993</v>
      </c>
      <c r="AC141" s="580"/>
      <c r="AD141" s="580"/>
      <c r="AE141" s="580"/>
      <c r="AF141" s="580"/>
      <c r="AG141" s="579">
        <f>5.589+1.811+16.267+14.929</f>
        <v>38.596</v>
      </c>
      <c r="AH141" s="580">
        <v>-18.639</v>
      </c>
      <c r="AI141" s="580">
        <v>-13.859</v>
      </c>
      <c r="AJ141" s="580">
        <v>0.783999999999999</v>
      </c>
      <c r="AK141" s="580">
        <v>20.233</v>
      </c>
      <c r="AL141" s="579">
        <f>1.027+8.232+14.925-3.951</f>
        <v>20.233</v>
      </c>
      <c r="AM141" s="580">
        <v>-19.57</v>
      </c>
      <c r="AN141" s="580">
        <v>-18.36</v>
      </c>
      <c r="AO141" s="580">
        <v>0.689</v>
      </c>
      <c r="AP141" s="580">
        <v>19.598</v>
      </c>
      <c r="AQ141" s="579">
        <f>-0.208-4.232+4.695+13.711+5.632</f>
        <v>19.598</v>
      </c>
      <c r="AR141" s="580">
        <v>-43.806</v>
      </c>
      <c r="AS141" s="580">
        <v>-42.678</v>
      </c>
      <c r="AT141" s="580">
        <v>-0.723</v>
      </c>
      <c r="AU141" s="580">
        <v>22.124</v>
      </c>
      <c r="AV141" s="579">
        <f>13.722+0.161-6.282+9.306+5.217</f>
        <v>22.124</v>
      </c>
      <c r="AW141" s="580">
        <v>-2.938</v>
      </c>
      <c r="AX141" s="580">
        <v>-5.923</v>
      </c>
      <c r="AY141" s="580">
        <v>42.389</v>
      </c>
      <c r="AZ141" s="580">
        <v>61.628</v>
      </c>
      <c r="BA141" s="579">
        <f>8.276+3.271+0.517+19.304+11.561+11.326+7.373</f>
        <v>61.628</v>
      </c>
      <c r="BB141" s="580">
        <v>-13.201</v>
      </c>
      <c r="BC141" s="580">
        <v>-25.65</v>
      </c>
      <c r="BD141" s="580">
        <v>58.159</v>
      </c>
      <c r="BE141" s="580">
        <v>78.222</v>
      </c>
      <c r="BF141" s="579">
        <f>5.198+19.47+16.574+19.563+2.48+14.937</f>
        <v>78.222</v>
      </c>
      <c r="BG141" s="580">
        <v>-35.48</v>
      </c>
      <c r="BH141" s="580">
        <v>-31.718</v>
      </c>
      <c r="BI141" s="580">
        <v>-25.898</v>
      </c>
      <c r="BJ141" s="580">
        <v>-2.49999999999999</v>
      </c>
      <c r="BK141" s="579">
        <f>-18.9+9.943-10.02+16.01+0.467</f>
        <v>-2.49999999999999</v>
      </c>
      <c r="BL141" s="580">
        <v>-15.277</v>
      </c>
      <c r="BM141" s="580">
        <v>-24.709</v>
      </c>
      <c r="BN141" s="580">
        <v>-23.511</v>
      </c>
      <c r="BO141" s="580">
        <f>3.68+12.873-16.47+17.282+6.427</f>
        <v>23.792</v>
      </c>
      <c r="BP141" s="579">
        <f>BO141</f>
        <v>23.792</v>
      </c>
      <c r="BQ141" s="580">
        <f>7.517-14.157+4.293-12.299-4.19</f>
        <v>-18.836</v>
      </c>
      <c r="BR141" s="580">
        <f>0.615-4.926-11.828-17.043-4.19</f>
        <v>-37.372</v>
      </c>
      <c r="BS141" s="580">
        <f>-0.392+18.009+9.817-17.827</f>
        <v>9.607</v>
      </c>
      <c r="BT141" s="580">
        <f>4.312+41.6+52.597+24.885</f>
        <v>123.394</v>
      </c>
      <c r="BU141" s="579">
        <f>BT141</f>
        <v>123.394</v>
      </c>
      <c r="BV141" s="580">
        <f>-6.894-32.498-56.524-13.641</f>
        <v>-109.557</v>
      </c>
      <c r="BW141" s="580">
        <f>-7.069-7.486-61.635-19.413</f>
        <v>-95.603</v>
      </c>
      <c r="BX141" s="580">
        <f>-5.94-10.223-54.7-24.183</f>
        <v>-95.046</v>
      </c>
      <c r="BY141" s="580">
        <f>-9.598+25.326-40.264+33.289</f>
        <v>8.753</v>
      </c>
      <c r="BZ141" s="579">
        <f>BY141</f>
        <v>8.753</v>
      </c>
      <c r="CA141" s="580">
        <f>4.016+-60.137+3.711+-13.64</f>
        <v>-66.05</v>
      </c>
      <c r="CB141" s="580">
        <f>25.322+53.868-49.037+43.926-13.848</f>
        <v>60.231</v>
      </c>
      <c r="CC141" s="580">
        <f>4.24+69.496-37.077-25.611-15.624+10.729</f>
        <v>6.15299999999999</v>
      </c>
      <c r="CD141" s="580">
        <f>8.046+91.115-6.692-24.125+47.962+10.784</f>
        <v>127.09</v>
      </c>
      <c r="CE141" s="579">
        <f>CD141</f>
        <v>127.09</v>
      </c>
      <c r="CF141" s="580">
        <f>-6.114+44.295+22.764-5.433-15.838+4.554</f>
        <v>44.228</v>
      </c>
      <c r="CG141" s="580">
        <f>18.091+47.403+19.26+0.456-19.377+1.265+1.483</f>
        <v>68.581</v>
      </c>
      <c r="CH141" s="580">
        <f>-5.253+93.132+50.437+29.862-18.969+8.376</f>
        <v>157.585</v>
      </c>
      <c r="CI141" s="580">
        <f>103.878+75.273+120.778+71.441+30.073</f>
        <v>401.443</v>
      </c>
      <c r="CJ141" s="579">
        <f>CI141</f>
        <v>401.443</v>
      </c>
      <c r="CK141" s="580">
        <f>28.113-84.123-119.959-23.816+7.115-15.476</f>
        <v>-208.146</v>
      </c>
      <c r="CL141" s="580">
        <f>6.082-50.187-91.874-35.099+8.775-16.461</f>
        <v>-178.764</v>
      </c>
      <c r="CM141" s="580">
        <f>-77.458-25.725+31.767-13.694-54.354-33.481+15.285-2.865</f>
        <v>-160.525</v>
      </c>
      <c r="CN141" s="580">
        <f>65.364+47.254+35.986+68.266-2.925</f>
        <v>213.945</v>
      </c>
      <c r="CO141" s="579">
        <f>CN141</f>
        <v>213.945</v>
      </c>
      <c r="CP141" s="580">
        <f>-53.685-120.699-26.506</f>
        <v>-200.89</v>
      </c>
      <c r="CQ141" s="580">
        <f>8.538-55.716-167.216-35.377+14.049+9.625</f>
        <v>-226.097</v>
      </c>
      <c r="CR141" s="580">
        <f>-16.238-1.496-153.539-35.927+19.898+8.729</f>
        <v>-178.573</v>
      </c>
      <c r="CS141" s="580">
        <f>12.23+84.315-173.196+70.327-71.734</f>
        <v>-78.058</v>
      </c>
      <c r="CT141" s="579">
        <f>CS141</f>
        <v>-78.058</v>
      </c>
      <c r="CU141" s="580">
        <f>37.534-190.513-37.172</f>
        <v>-190.151</v>
      </c>
      <c r="CV141" s="580">
        <f>60.123-147.81-8.662-54.226+18.878-2.774</f>
        <v>-134.471</v>
      </c>
      <c r="CW141" s="580">
        <f>171.566-133.63+70.615-66.623+16.234+0.759</f>
        <v>58.921</v>
      </c>
      <c r="CX141" s="580">
        <f>193.139-112.11+157.205+42.41+23.501+2.488</f>
        <v>306.633</v>
      </c>
      <c r="CY141" s="579">
        <f>CX141</f>
        <v>306.633</v>
      </c>
      <c r="CZ141" s="580">
        <f>-42.971-65.635-40.665</f>
        <v>-149.271</v>
      </c>
      <c r="DA141" s="580">
        <f>-131.64-61.249-165.214-59.616-2.776-30.885-33.33</f>
        <v>-484.71</v>
      </c>
      <c r="DB141" s="580">
        <f>70.108-22.644-126.764-57.27+2.02+35.284</f>
        <v>-99.266</v>
      </c>
      <c r="DC141" s="580">
        <f>98.421-24.737-150.496+41.253+6.884+20.632</f>
        <v>-8.043</v>
      </c>
      <c r="DD141" s="579">
        <f>DC141</f>
        <v>-8.043</v>
      </c>
      <c r="DE141" s="580">
        <f>-67.927-16.054-20.461</f>
        <v>-104.442</v>
      </c>
      <c r="DF141" s="580">
        <f>-72.446-63.487+22.805-37.628+25.201-0.299-40.626</f>
        <v>-166.48</v>
      </c>
      <c r="DG141" s="580"/>
      <c r="DH141" s="580"/>
      <c r="DI141" s="579"/>
      <c r="DJ141" s="580"/>
      <c r="DK141" s="580"/>
      <c r="DL141" s="580"/>
      <c r="DM141" s="580"/>
      <c r="DN141" s="579"/>
      <c r="DO141" s="580"/>
      <c r="DP141" s="580"/>
      <c r="DQ141" s="580"/>
      <c r="DR141" s="580"/>
      <c r="DS141" s="579"/>
    </row>
    <row r="142" hidden="1" outlineLevel="1" spans="1:123">
      <c r="A142" s="6"/>
      <c r="B142" s="609"/>
      <c r="C142" s="579"/>
      <c r="D142" s="580"/>
      <c r="E142" s="580"/>
      <c r="F142" s="580"/>
      <c r="G142" s="580"/>
      <c r="H142" s="579"/>
      <c r="I142" s="580"/>
      <c r="J142" s="580"/>
      <c r="K142" s="580"/>
      <c r="L142" s="580"/>
      <c r="M142" s="579"/>
      <c r="N142" s="580"/>
      <c r="O142" s="580"/>
      <c r="P142" s="580"/>
      <c r="Q142" s="580"/>
      <c r="R142" s="579"/>
      <c r="S142" s="580"/>
      <c r="T142" s="580"/>
      <c r="U142" s="580"/>
      <c r="V142" s="580"/>
      <c r="W142" s="579"/>
      <c r="X142" s="580"/>
      <c r="Y142" s="580"/>
      <c r="Z142" s="580"/>
      <c r="AA142" s="580"/>
      <c r="AB142" s="579"/>
      <c r="AC142" s="580"/>
      <c r="AD142" s="580"/>
      <c r="AE142" s="580"/>
      <c r="AF142" s="580"/>
      <c r="AG142" s="579"/>
      <c r="AH142" s="580"/>
      <c r="AI142" s="580"/>
      <c r="AJ142" s="580"/>
      <c r="AK142" s="580"/>
      <c r="AL142" s="579"/>
      <c r="AM142" s="580"/>
      <c r="AN142" s="580"/>
      <c r="AO142" s="580"/>
      <c r="AP142" s="580"/>
      <c r="AQ142" s="579"/>
      <c r="AR142" s="580"/>
      <c r="AS142" s="580"/>
      <c r="AT142" s="580"/>
      <c r="AU142" s="580"/>
      <c r="AV142" s="579"/>
      <c r="AW142" s="580"/>
      <c r="AX142" s="580"/>
      <c r="AY142" s="580"/>
      <c r="AZ142" s="580"/>
      <c r="BA142" s="579"/>
      <c r="BB142" s="580"/>
      <c r="BC142" s="580"/>
      <c r="BD142" s="580"/>
      <c r="BE142" s="580"/>
      <c r="BF142" s="579"/>
      <c r="BG142" s="580"/>
      <c r="BH142" s="580"/>
      <c r="BI142" s="580"/>
      <c r="BJ142" s="580"/>
      <c r="BK142" s="579"/>
      <c r="BL142" s="580"/>
      <c r="BM142" s="580"/>
      <c r="BN142" s="580"/>
      <c r="BO142" s="580"/>
      <c r="BP142" s="579"/>
      <c r="BQ142" s="580"/>
      <c r="BR142" s="580"/>
      <c r="BS142" s="580"/>
      <c r="BT142" s="580"/>
      <c r="BU142" s="579"/>
      <c r="BV142" s="580"/>
      <c r="BW142" s="580"/>
      <c r="BX142" s="580"/>
      <c r="BY142" s="580"/>
      <c r="BZ142" s="579"/>
      <c r="CA142" s="580"/>
      <c r="CB142" s="580"/>
      <c r="CC142" s="580"/>
      <c r="CD142" s="580"/>
      <c r="CE142" s="579"/>
      <c r="CF142" s="580"/>
      <c r="CG142" s="580"/>
      <c r="CH142" s="580"/>
      <c r="CI142" s="580"/>
      <c r="CJ142" s="579"/>
      <c r="CK142" s="580"/>
      <c r="CL142" s="580"/>
      <c r="CM142" s="580"/>
      <c r="CN142" s="580"/>
      <c r="CO142" s="579"/>
      <c r="CP142" s="580"/>
      <c r="CQ142" s="580"/>
      <c r="CR142" s="580"/>
      <c r="CS142" s="580"/>
      <c r="CT142" s="579"/>
      <c r="CU142" s="580"/>
      <c r="CV142" s="580"/>
      <c r="CW142" s="580"/>
      <c r="CX142" s="580"/>
      <c r="CY142" s="579"/>
      <c r="CZ142" s="580"/>
      <c r="DA142" s="580"/>
      <c r="DB142" s="580"/>
      <c r="DC142" s="580"/>
      <c r="DD142" s="579"/>
      <c r="DE142" s="580"/>
      <c r="DF142" s="580"/>
      <c r="DG142" s="580"/>
      <c r="DH142" s="580"/>
      <c r="DI142" s="579"/>
      <c r="DJ142" s="580"/>
      <c r="DK142" s="580"/>
      <c r="DL142" s="580"/>
      <c r="DM142" s="580"/>
      <c r="DN142" s="579"/>
      <c r="DO142" s="580"/>
      <c r="DP142" s="580"/>
      <c r="DQ142" s="580"/>
      <c r="DR142" s="580"/>
      <c r="DS142" s="579"/>
    </row>
    <row r="143" hidden="1" outlineLevel="1" spans="1:123">
      <c r="A143" s="6"/>
      <c r="B143" s="609" t="s">
        <v>109</v>
      </c>
      <c r="C143" s="579"/>
      <c r="D143" s="580"/>
      <c r="E143" s="580"/>
      <c r="F143" s="580"/>
      <c r="G143" s="580"/>
      <c r="H143" s="579"/>
      <c r="I143" s="580"/>
      <c r="J143" s="580"/>
      <c r="K143" s="580"/>
      <c r="L143" s="580"/>
      <c r="M143" s="579">
        <f>SUM(M137:M142)</f>
        <v>5.416659</v>
      </c>
      <c r="N143" s="580"/>
      <c r="O143" s="580"/>
      <c r="P143" s="580"/>
      <c r="Q143" s="580"/>
      <c r="R143" s="579">
        <f>SUM(R137:R141)</f>
        <v>-6.264916</v>
      </c>
      <c r="S143" s="580"/>
      <c r="T143" s="580"/>
      <c r="U143" s="580"/>
      <c r="V143" s="580"/>
      <c r="W143" s="579">
        <f>SUM(W137:W142)</f>
        <v>-0.736925000000003</v>
      </c>
      <c r="X143" s="580"/>
      <c r="Y143" s="580"/>
      <c r="Z143" s="580"/>
      <c r="AA143" s="580"/>
      <c r="AB143" s="579">
        <f>SUM(AB137:AB142)</f>
        <v>30.79</v>
      </c>
      <c r="AC143" s="580"/>
      <c r="AD143" s="580"/>
      <c r="AE143" s="580"/>
      <c r="AF143" s="580"/>
      <c r="AG143" s="579">
        <f t="shared" ref="AG143:BF143" si="390">SUM(AG137:AG142)</f>
        <v>23.966</v>
      </c>
      <c r="AH143" s="580">
        <f t="shared" si="390"/>
        <v>-34.138</v>
      </c>
      <c r="AI143" s="580">
        <f t="shared" si="390"/>
        <v>-56.354</v>
      </c>
      <c r="AJ143" s="580">
        <f t="shared" si="390"/>
        <v>-70.12</v>
      </c>
      <c r="AK143" s="580">
        <f t="shared" si="390"/>
        <v>-13.73</v>
      </c>
      <c r="AL143" s="579">
        <f t="shared" si="390"/>
        <v>-13.73</v>
      </c>
      <c r="AM143" s="580">
        <f t="shared" si="390"/>
        <v>-40.555</v>
      </c>
      <c r="AN143" s="580">
        <f t="shared" si="390"/>
        <v>-63.639</v>
      </c>
      <c r="AO143" s="580">
        <f t="shared" si="390"/>
        <v>-84.087</v>
      </c>
      <c r="AP143" s="580">
        <f t="shared" si="390"/>
        <v>-32.258</v>
      </c>
      <c r="AQ143" s="579">
        <f t="shared" si="390"/>
        <v>-32.258</v>
      </c>
      <c r="AR143" s="580">
        <f t="shared" si="390"/>
        <v>-55.032</v>
      </c>
      <c r="AS143" s="580">
        <f t="shared" si="390"/>
        <v>-74.85</v>
      </c>
      <c r="AT143" s="580">
        <f t="shared" si="390"/>
        <v>-64.036</v>
      </c>
      <c r="AU143" s="580">
        <f t="shared" si="390"/>
        <v>-50.072</v>
      </c>
      <c r="AV143" s="579">
        <f t="shared" si="390"/>
        <v>-50.072</v>
      </c>
      <c r="AW143" s="580">
        <f t="shared" si="390"/>
        <v>8.345</v>
      </c>
      <c r="AX143" s="580">
        <f t="shared" si="390"/>
        <v>-1.652</v>
      </c>
      <c r="AY143" s="580">
        <f t="shared" si="390"/>
        <v>-28.851</v>
      </c>
      <c r="AZ143" s="580">
        <f t="shared" si="390"/>
        <v>8.577</v>
      </c>
      <c r="BA143" s="579">
        <f t="shared" si="390"/>
        <v>8.577</v>
      </c>
      <c r="BB143" s="580">
        <f t="shared" si="390"/>
        <v>-45.034</v>
      </c>
      <c r="BC143" s="580">
        <f t="shared" si="390"/>
        <v>-101.469</v>
      </c>
      <c r="BD143" s="580">
        <f t="shared" si="390"/>
        <v>-186.267</v>
      </c>
      <c r="BE143" s="580">
        <f t="shared" si="390"/>
        <v>-59.743</v>
      </c>
      <c r="BF143" s="579">
        <f t="shared" si="390"/>
        <v>-59.743</v>
      </c>
      <c r="BG143" s="580">
        <f t="shared" ref="BG143:BR143" si="391">SUM(BG137:BG142)</f>
        <v>-27.668</v>
      </c>
      <c r="BH143" s="580">
        <f t="shared" si="391"/>
        <v>-32.898</v>
      </c>
      <c r="BI143" s="580">
        <f t="shared" si="391"/>
        <v>-145.167</v>
      </c>
      <c r="BJ143" s="580">
        <f t="shared" si="391"/>
        <v>10.984</v>
      </c>
      <c r="BK143" s="579">
        <f t="shared" si="391"/>
        <v>10.984</v>
      </c>
      <c r="BL143" s="580">
        <f t="shared" si="391"/>
        <v>-46.331</v>
      </c>
      <c r="BM143" s="580">
        <f t="shared" si="391"/>
        <v>-44.007</v>
      </c>
      <c r="BN143" s="580">
        <f t="shared" si="391"/>
        <v>-141.447</v>
      </c>
      <c r="BO143" s="580">
        <f t="shared" si="391"/>
        <v>16.356</v>
      </c>
      <c r="BP143" s="579">
        <f t="shared" si="391"/>
        <v>16.356</v>
      </c>
      <c r="BQ143" s="580">
        <f t="shared" si="391"/>
        <v>-74.282</v>
      </c>
      <c r="BR143" s="580">
        <f t="shared" si="391"/>
        <v>-44.531</v>
      </c>
      <c r="BS143" s="580">
        <f t="shared" ref="BS143:BZ143" si="392">SUM(BS137:BS142)</f>
        <v>-86.849</v>
      </c>
      <c r="BT143" s="580">
        <f t="shared" si="392"/>
        <v>78.324</v>
      </c>
      <c r="BU143" s="579">
        <f t="shared" si="392"/>
        <v>78.324</v>
      </c>
      <c r="BV143" s="580">
        <f t="shared" si="392"/>
        <v>-206.813</v>
      </c>
      <c r="BW143" s="580">
        <f t="shared" si="392"/>
        <v>-281.896</v>
      </c>
      <c r="BX143" s="580">
        <f t="shared" si="392"/>
        <v>-376.415</v>
      </c>
      <c r="BY143" s="580">
        <f t="shared" si="392"/>
        <v>-241.029</v>
      </c>
      <c r="BZ143" s="579">
        <f t="shared" si="392"/>
        <v>-241.029</v>
      </c>
      <c r="CA143" s="580">
        <f t="shared" ref="CA143:CV143" si="393">SUM(CA137:CA142)</f>
        <v>-244.153</v>
      </c>
      <c r="CB143" s="580">
        <f t="shared" si="393"/>
        <v>-158.667</v>
      </c>
      <c r="CC143" s="580">
        <f t="shared" si="393"/>
        <v>-304.296</v>
      </c>
      <c r="CD143" s="580">
        <f t="shared" si="393"/>
        <v>-11.76</v>
      </c>
      <c r="CE143" s="579">
        <f t="shared" si="393"/>
        <v>-11.76</v>
      </c>
      <c r="CF143" s="580">
        <f t="shared" si="393"/>
        <v>-19.599</v>
      </c>
      <c r="CG143" s="580">
        <f t="shared" si="393"/>
        <v>-32.612</v>
      </c>
      <c r="CH143" s="580">
        <f t="shared" si="393"/>
        <v>-124.611</v>
      </c>
      <c r="CI143" s="580">
        <f t="shared" si="393"/>
        <v>133.193</v>
      </c>
      <c r="CJ143" s="579">
        <f t="shared" si="393"/>
        <v>133.193</v>
      </c>
      <c r="CK143" s="580">
        <f t="shared" si="393"/>
        <v>-505.704</v>
      </c>
      <c r="CL143" s="580">
        <f t="shared" si="393"/>
        <v>-778.518</v>
      </c>
      <c r="CM143" s="580">
        <f t="shared" si="393"/>
        <v>-1056.524</v>
      </c>
      <c r="CN143" s="580">
        <f t="shared" si="393"/>
        <v>-584.379</v>
      </c>
      <c r="CO143" s="579">
        <f t="shared" si="393"/>
        <v>-584.379</v>
      </c>
      <c r="CP143" s="580">
        <f t="shared" si="393"/>
        <v>-208.369</v>
      </c>
      <c r="CQ143" s="580">
        <f t="shared" si="393"/>
        <v>-352.374</v>
      </c>
      <c r="CR143" s="580">
        <f t="shared" si="393"/>
        <v>-442.616</v>
      </c>
      <c r="CS143" s="580">
        <f t="shared" si="393"/>
        <v>161.688</v>
      </c>
      <c r="CT143" s="579">
        <f t="shared" si="393"/>
        <v>161.688</v>
      </c>
      <c r="CU143" s="580">
        <f t="shared" si="393"/>
        <v>-341.578</v>
      </c>
      <c r="CV143" s="580">
        <f t="shared" si="393"/>
        <v>-377.52</v>
      </c>
      <c r="CW143" s="580">
        <f t="shared" ref="CW143:CX143" si="394">SUM(CW137:CW142)</f>
        <v>-559.67</v>
      </c>
      <c r="CX143" s="580">
        <f t="shared" si="394"/>
        <v>-51.895</v>
      </c>
      <c r="CY143" s="579">
        <f t="shared" ref="CY143:DC143" si="395">SUM(CY137:CY142)</f>
        <v>-51.895</v>
      </c>
      <c r="CZ143" s="580">
        <f t="shared" si="395"/>
        <v>-344.956</v>
      </c>
      <c r="DA143" s="580">
        <f t="shared" si="395"/>
        <v>-719.325</v>
      </c>
      <c r="DB143" s="580">
        <f t="shared" si="395"/>
        <v>-914.137</v>
      </c>
      <c r="DC143" s="580">
        <f t="shared" si="395"/>
        <v>-409.44</v>
      </c>
      <c r="DD143" s="579">
        <f t="shared" ref="DD143:DF143" si="396">SUM(DD137:DD142)</f>
        <v>-409.44</v>
      </c>
      <c r="DE143" s="580">
        <f t="shared" si="396"/>
        <v>-154.998</v>
      </c>
      <c r="DF143" s="580">
        <f t="shared" si="396"/>
        <v>-254.64</v>
      </c>
      <c r="DG143" s="580"/>
      <c r="DH143" s="580"/>
      <c r="DI143" s="579"/>
      <c r="DJ143" s="580"/>
      <c r="DK143" s="580"/>
      <c r="DL143" s="580"/>
      <c r="DM143" s="580"/>
      <c r="DN143" s="579"/>
      <c r="DO143" s="580"/>
      <c r="DP143" s="580"/>
      <c r="DQ143" s="580"/>
      <c r="DR143" s="580"/>
      <c r="DS143" s="579"/>
    </row>
    <row r="144" hidden="1" outlineLevel="1" spans="1:123">
      <c r="A144" s="6"/>
      <c r="B144" s="609" t="s">
        <v>110</v>
      </c>
      <c r="C144" s="579"/>
      <c r="D144" s="580"/>
      <c r="E144" s="580"/>
      <c r="F144" s="580"/>
      <c r="G144" s="580"/>
      <c r="H144" s="579"/>
      <c r="I144" s="580"/>
      <c r="J144" s="580"/>
      <c r="K144" s="580"/>
      <c r="L144" s="580"/>
      <c r="M144" s="579">
        <f>0.22995-3.076876+8.680829-0.194362-0.811965999999998-0.534703899999998</f>
        <v>4.2928711</v>
      </c>
      <c r="N144" s="580"/>
      <c r="O144" s="580"/>
      <c r="P144" s="580"/>
      <c r="Q144" s="580"/>
      <c r="R144" s="579">
        <f>1.798882-2.638301-2.76936</f>
        <v>-3.608779</v>
      </c>
      <c r="S144" s="580"/>
      <c r="T144" s="580"/>
      <c r="U144" s="580"/>
      <c r="V144" s="580"/>
      <c r="W144" s="579">
        <f>4.404855-6.441402-12.024413-0.19161-2.4345+1.004919-0.8</f>
        <v>-16.482151</v>
      </c>
      <c r="X144" s="580"/>
      <c r="Y144" s="580"/>
      <c r="Z144" s="580"/>
      <c r="AA144" s="580"/>
      <c r="AB144" s="579">
        <f>-2.183+0.387+3.858+0.379</f>
        <v>2.441</v>
      </c>
      <c r="AC144" s="580"/>
      <c r="AD144" s="580"/>
      <c r="AE144" s="580"/>
      <c r="AF144" s="580"/>
      <c r="AG144" s="579">
        <f>-1.406+11.234-7.863+1.772-1.792</f>
        <v>1.945</v>
      </c>
      <c r="AH144" s="580">
        <v>-2.493</v>
      </c>
      <c r="AI144" s="580">
        <v>-14.878</v>
      </c>
      <c r="AJ144" s="580">
        <v>-16.069</v>
      </c>
      <c r="AK144" s="580">
        <v>-8.218</v>
      </c>
      <c r="AL144" s="579">
        <f>-1.775-0.693-5.75</f>
        <v>-8.218</v>
      </c>
      <c r="AM144" s="580">
        <v>-4.156</v>
      </c>
      <c r="AN144" s="580">
        <v>-5.036</v>
      </c>
      <c r="AO144" s="580">
        <v>-7.519</v>
      </c>
      <c r="AP144" s="580">
        <v>-11.252</v>
      </c>
      <c r="AQ144" s="579">
        <f>-1.351-9.901</f>
        <v>-11.252</v>
      </c>
      <c r="AR144" s="580">
        <v>21.159</v>
      </c>
      <c r="AS144" s="580">
        <v>18.231</v>
      </c>
      <c r="AT144" s="580">
        <v>-60.189</v>
      </c>
      <c r="AU144" s="580">
        <v>-11.111</v>
      </c>
      <c r="AV144" s="579">
        <f>-4.654-6.457</f>
        <v>-11.111</v>
      </c>
      <c r="AW144" s="580">
        <v>-1.74</v>
      </c>
      <c r="AX144" s="580">
        <v>0.553</v>
      </c>
      <c r="AY144" s="580">
        <v>-0.596</v>
      </c>
      <c r="AZ144" s="580">
        <v>-1.881</v>
      </c>
      <c r="BA144" s="579">
        <f>-1.468-0.413</f>
        <v>-1.881</v>
      </c>
      <c r="BB144" s="580">
        <v>0</v>
      </c>
      <c r="BC144" s="580">
        <v>-0.649</v>
      </c>
      <c r="BD144" s="580">
        <v>-0.666</v>
      </c>
      <c r="BE144" s="580">
        <v>-2.445</v>
      </c>
      <c r="BF144" s="579">
        <f>-3.647+1.202</f>
        <v>-2.445</v>
      </c>
      <c r="BG144" s="580">
        <v>0</v>
      </c>
      <c r="BH144" s="580">
        <v>-13.884</v>
      </c>
      <c r="BI144" s="580">
        <v>-1.328</v>
      </c>
      <c r="BJ144" s="580">
        <f>-16.3907006146613+0.198</f>
        <v>-16.1927006146613</v>
      </c>
      <c r="BK144" s="579">
        <f>-(BK132-303.381)-4.548-1.273-10.381</f>
        <v>-16.3907006146613</v>
      </c>
      <c r="BL144" s="580">
        <v>8.592</v>
      </c>
      <c r="BM144" s="580">
        <v>5.809</v>
      </c>
      <c r="BN144" s="580">
        <v>59.063</v>
      </c>
      <c r="BO144" s="580">
        <f>-6.202+11.593+6.227+9.194+48.268+30.81</f>
        <v>99.89</v>
      </c>
      <c r="BP144" s="579">
        <f>BO144</f>
        <v>99.89</v>
      </c>
      <c r="BQ144" s="580">
        <f>-0.211+2.811</f>
        <v>2.6</v>
      </c>
      <c r="BR144" s="580">
        <f>-1.807+14.5</f>
        <v>12.693</v>
      </c>
      <c r="BS144" s="580">
        <f>-4.67-3.285+32.387+5.844</f>
        <v>30.276</v>
      </c>
      <c r="BT144" s="580">
        <f>-6.859-14.876-3.86-6.169+44.58</f>
        <v>12.816</v>
      </c>
      <c r="BU144" s="579">
        <f>BT144</f>
        <v>12.816</v>
      </c>
      <c r="BV144" s="580">
        <f>-4.983-4.009+8.185+5.234</f>
        <v>4.427</v>
      </c>
      <c r="BW144" s="580">
        <f>-5.43+6.127+9.625+7.596</f>
        <v>17.918</v>
      </c>
      <c r="BX144" s="580">
        <f>-3.375-63.107+6.127+9.794+23.993</f>
        <v>-26.568</v>
      </c>
      <c r="BY144" s="580">
        <f>-11.939-1.925+6.127+17.422+23.409</f>
        <v>33.094</v>
      </c>
      <c r="BZ144" s="579">
        <f>BY144</f>
        <v>33.094</v>
      </c>
      <c r="CA144" s="580">
        <f>67.155+-16.868+-5.669</f>
        <v>44.618</v>
      </c>
      <c r="CB144" s="580">
        <f>-13.538+7.388+3.358</f>
        <v>-2.792</v>
      </c>
      <c r="CC144" s="580">
        <f>-9.841-36.419+6.577</f>
        <v>-39.683</v>
      </c>
      <c r="CD144" s="580">
        <f>-49.056+13.267-13.696+4.485-0.002</f>
        <v>-45.002</v>
      </c>
      <c r="CE144" s="579">
        <f>CD144</f>
        <v>-45.002</v>
      </c>
      <c r="CF144" s="580">
        <f>1.82+21.515</f>
        <v>23.335</v>
      </c>
      <c r="CG144" s="580">
        <v>45.01</v>
      </c>
      <c r="CH144" s="580">
        <f>30.427-8.792+6.318</f>
        <v>27.953</v>
      </c>
      <c r="CI144" s="580">
        <f>13.494-17.556+15.191-18.699</f>
        <v>-7.57</v>
      </c>
      <c r="CJ144" s="579">
        <f>CI144</f>
        <v>-7.57</v>
      </c>
      <c r="CK144" s="580">
        <f>-10.378</f>
        <v>-10.378</v>
      </c>
      <c r="CL144" s="580">
        <f>-10.18-8.055</f>
        <v>-18.235</v>
      </c>
      <c r="CM144" s="580">
        <f>-19.202-10.18</f>
        <v>-29.382</v>
      </c>
      <c r="CN144" s="580">
        <f>23.905-36.518-38.649-23.337+407.913-10.18</f>
        <v>323.134</v>
      </c>
      <c r="CO144" s="579">
        <f>CN144</f>
        <v>323.134</v>
      </c>
      <c r="CP144" s="580">
        <f>-7.222-141.237+5.255+1.975</f>
        <v>-141.229</v>
      </c>
      <c r="CQ144" s="580">
        <f>18.87</f>
        <v>18.87</v>
      </c>
      <c r="CR144" s="580">
        <f>23.709+74.501+29.499</f>
        <v>127.709</v>
      </c>
      <c r="CS144" s="580">
        <f>37.535+32.527-28.547+74.501+23.709</f>
        <v>139.725</v>
      </c>
      <c r="CT144" s="579">
        <f>CS144</f>
        <v>139.725</v>
      </c>
      <c r="CU144" s="580">
        <f>-17.969-0.316+41.116+1.097+2.236</f>
        <v>26.164</v>
      </c>
      <c r="CV144" s="580">
        <v>-12.816</v>
      </c>
      <c r="CW144" s="580">
        <v>-19.645</v>
      </c>
      <c r="CX144" s="580">
        <f>-36.231-47.763</f>
        <v>-83.994</v>
      </c>
      <c r="CY144" s="579">
        <f>CX144</f>
        <v>-83.994</v>
      </c>
      <c r="CZ144" s="580">
        <f>-13.524-160.295-2.924-1.927-47.52</f>
        <v>-226.19</v>
      </c>
      <c r="DA144" s="580">
        <v>-11.921</v>
      </c>
      <c r="DB144" s="580">
        <v>-18.077</v>
      </c>
      <c r="DC144" s="580">
        <f>-37.766-34.552</f>
        <v>-72.318</v>
      </c>
      <c r="DD144" s="579">
        <f>DC144</f>
        <v>-72.318</v>
      </c>
      <c r="DE144" s="580">
        <f>3.115-33.472+5.818+18.158+16.25</f>
        <v>9.869</v>
      </c>
      <c r="DF144" s="580">
        <f>-8.295</f>
        <v>-8.295</v>
      </c>
      <c r="DG144" s="580"/>
      <c r="DH144" s="580"/>
      <c r="DI144" s="579"/>
      <c r="DJ144" s="580"/>
      <c r="DK144" s="580"/>
      <c r="DL144" s="580"/>
      <c r="DM144" s="580"/>
      <c r="DN144" s="579"/>
      <c r="DO144" s="580"/>
      <c r="DP144" s="580"/>
      <c r="DQ144" s="580"/>
      <c r="DR144" s="580"/>
      <c r="DS144" s="579"/>
    </row>
    <row r="145" hidden="1" outlineLevel="1" spans="1:123">
      <c r="A145" s="6"/>
      <c r="B145" s="609"/>
      <c r="C145" s="579"/>
      <c r="D145" s="580"/>
      <c r="E145" s="580"/>
      <c r="F145" s="580"/>
      <c r="G145" s="580"/>
      <c r="H145" s="579"/>
      <c r="I145" s="580"/>
      <c r="J145" s="580"/>
      <c r="K145" s="580"/>
      <c r="L145" s="580"/>
      <c r="M145" s="579"/>
      <c r="N145" s="580"/>
      <c r="O145" s="580"/>
      <c r="P145" s="580"/>
      <c r="Q145" s="580"/>
      <c r="R145" s="579"/>
      <c r="S145" s="580"/>
      <c r="T145" s="580"/>
      <c r="U145" s="580"/>
      <c r="V145" s="580"/>
      <c r="W145" s="579"/>
      <c r="X145" s="580"/>
      <c r="Y145" s="580"/>
      <c r="Z145" s="580"/>
      <c r="AA145" s="580"/>
      <c r="AB145" s="579"/>
      <c r="AC145" s="580"/>
      <c r="AD145" s="580"/>
      <c r="AE145" s="580"/>
      <c r="AF145" s="580"/>
      <c r="AG145" s="579"/>
      <c r="AH145" s="580"/>
      <c r="AI145" s="580"/>
      <c r="AJ145" s="580"/>
      <c r="AK145" s="580"/>
      <c r="AL145" s="579"/>
      <c r="AM145" s="580"/>
      <c r="AN145" s="580"/>
      <c r="AO145" s="580"/>
      <c r="AP145" s="580"/>
      <c r="AQ145" s="579"/>
      <c r="AR145" s="580"/>
      <c r="AS145" s="580"/>
      <c r="AT145" s="580"/>
      <c r="AU145" s="580"/>
      <c r="AV145" s="579"/>
      <c r="AW145" s="580"/>
      <c r="AX145" s="580"/>
      <c r="AY145" s="580"/>
      <c r="AZ145" s="580"/>
      <c r="BA145" s="579"/>
      <c r="BB145" s="580"/>
      <c r="BC145" s="580"/>
      <c r="BD145" s="580"/>
      <c r="BE145" s="580"/>
      <c r="BF145" s="579"/>
      <c r="BG145" s="580"/>
      <c r="BH145" s="580"/>
      <c r="BI145" s="580"/>
      <c r="BJ145" s="580"/>
      <c r="BK145" s="579"/>
      <c r="BL145" s="580"/>
      <c r="BM145" s="580"/>
      <c r="BN145" s="580"/>
      <c r="BO145" s="580"/>
      <c r="BP145" s="579"/>
      <c r="BQ145" s="580"/>
      <c r="BR145" s="580"/>
      <c r="BS145" s="580"/>
      <c r="BT145" s="580"/>
      <c r="BU145" s="579"/>
      <c r="BV145" s="580"/>
      <c r="BW145" s="580"/>
      <c r="BX145" s="580"/>
      <c r="BY145" s="580"/>
      <c r="BZ145" s="579"/>
      <c r="CA145" s="580"/>
      <c r="CB145" s="580"/>
      <c r="CC145" s="580"/>
      <c r="CD145" s="580"/>
      <c r="CE145" s="579"/>
      <c r="CF145" s="580"/>
      <c r="CG145" s="580"/>
      <c r="CH145" s="580"/>
      <c r="CI145" s="580"/>
      <c r="CJ145" s="579"/>
      <c r="CK145" s="580"/>
      <c r="CL145" s="580"/>
      <c r="CM145" s="580"/>
      <c r="CN145" s="580"/>
      <c r="CO145" s="579"/>
      <c r="CP145" s="580"/>
      <c r="CQ145" s="580"/>
      <c r="CR145" s="580"/>
      <c r="CS145" s="580"/>
      <c r="CT145" s="579"/>
      <c r="CU145" s="580"/>
      <c r="CV145" s="580"/>
      <c r="CW145" s="580"/>
      <c r="CX145" s="580"/>
      <c r="CY145" s="579"/>
      <c r="CZ145" s="580"/>
      <c r="DA145" s="580"/>
      <c r="DB145" s="580"/>
      <c r="DC145" s="610"/>
      <c r="DD145" s="579"/>
      <c r="DE145" s="580"/>
      <c r="DF145" s="580"/>
      <c r="DG145" s="580"/>
      <c r="DH145" s="580"/>
      <c r="DI145" s="579"/>
      <c r="DJ145" s="580"/>
      <c r="DK145" s="580"/>
      <c r="DL145" s="580"/>
      <c r="DM145" s="580"/>
      <c r="DN145" s="579"/>
      <c r="DO145" s="580"/>
      <c r="DP145" s="580"/>
      <c r="DQ145" s="580"/>
      <c r="DR145" s="580"/>
      <c r="DS145" s="579"/>
    </row>
    <row r="146" s="3" customFormat="1" hidden="1" outlineLevel="1" spans="1:123">
      <c r="B146" s="611" t="s">
        <v>111</v>
      </c>
      <c r="C146" s="612"/>
      <c r="D146" s="613"/>
      <c r="E146" s="613"/>
      <c r="F146" s="613"/>
      <c r="G146" s="613"/>
      <c r="H146" s="612"/>
      <c r="I146" s="613"/>
      <c r="J146" s="613"/>
      <c r="K146" s="613"/>
      <c r="L146" s="613"/>
      <c r="M146" s="612">
        <f>SUM(M132:M134,M143:M144)</f>
        <v>24.9141171</v>
      </c>
      <c r="N146" s="613"/>
      <c r="O146" s="613"/>
      <c r="P146" s="613"/>
      <c r="Q146" s="613"/>
      <c r="R146" s="612">
        <f>SUM(R132:R134,R143:R144)</f>
        <v>36.480537</v>
      </c>
      <c r="S146" s="613"/>
      <c r="T146" s="613"/>
      <c r="U146" s="613"/>
      <c r="V146" s="613"/>
      <c r="W146" s="612">
        <f>SUM(W132:W134,W143:W144)</f>
        <v>45.637774</v>
      </c>
      <c r="X146" s="613"/>
      <c r="Y146" s="613"/>
      <c r="Z146" s="613"/>
      <c r="AA146" s="613"/>
      <c r="AB146" s="612">
        <f>SUM(AB132:AB134,AB143:AB144)</f>
        <v>117.96</v>
      </c>
      <c r="AC146" s="613"/>
      <c r="AD146" s="613"/>
      <c r="AE146" s="613"/>
      <c r="AF146" s="613"/>
      <c r="AG146" s="612">
        <f t="shared" ref="AG146:AL146" si="397">SUM(AG132:AG134,AG143:AG144)</f>
        <v>179.995</v>
      </c>
      <c r="AH146" s="613">
        <f t="shared" si="397"/>
        <v>5.655</v>
      </c>
      <c r="AI146" s="613">
        <f t="shared" si="397"/>
        <v>19.529</v>
      </c>
      <c r="AJ146" s="613">
        <f t="shared" si="397"/>
        <v>53.519</v>
      </c>
      <c r="AK146" s="613">
        <f t="shared" si="397"/>
        <v>203.615</v>
      </c>
      <c r="AL146" s="612">
        <f t="shared" si="397"/>
        <v>203.615</v>
      </c>
      <c r="AM146" s="613">
        <f t="shared" ref="AM146:AZ146" si="398">SUM(AM132:AM135,AM143:AM144)</f>
        <v>15.952</v>
      </c>
      <c r="AN146" s="613">
        <f t="shared" si="398"/>
        <v>63.52</v>
      </c>
      <c r="AO146" s="613">
        <f t="shared" si="398"/>
        <v>113.24</v>
      </c>
      <c r="AP146" s="613">
        <f t="shared" si="398"/>
        <v>280.113</v>
      </c>
      <c r="AQ146" s="612">
        <f t="shared" si="398"/>
        <v>280.113</v>
      </c>
      <c r="AR146" s="613">
        <f t="shared" si="398"/>
        <v>25.1350000000001</v>
      </c>
      <c r="AS146" s="613">
        <f t="shared" si="398"/>
        <v>70.932</v>
      </c>
      <c r="AT146" s="613">
        <f t="shared" si="398"/>
        <v>94.806</v>
      </c>
      <c r="AU146" s="613">
        <f t="shared" si="398"/>
        <v>278.339</v>
      </c>
      <c r="AV146" s="612">
        <f t="shared" si="398"/>
        <v>278.339</v>
      </c>
      <c r="AW146" s="613">
        <f t="shared" si="398"/>
        <v>70.969</v>
      </c>
      <c r="AX146" s="613">
        <f t="shared" si="398"/>
        <v>123.965</v>
      </c>
      <c r="AY146" s="613">
        <f t="shared" si="398"/>
        <v>166.793</v>
      </c>
      <c r="AZ146" s="613">
        <f t="shared" si="398"/>
        <v>314.449</v>
      </c>
      <c r="BA146" s="612">
        <f t="shared" ref="BA146:BR146" si="399">SUM(BA132:BA135,BA143:BA144)</f>
        <v>314.449</v>
      </c>
      <c r="BB146" s="613">
        <f t="shared" si="399"/>
        <v>20.94</v>
      </c>
      <c r="BC146" s="613">
        <f t="shared" si="399"/>
        <v>32.161</v>
      </c>
      <c r="BD146" s="613">
        <f t="shared" si="399"/>
        <v>25.933</v>
      </c>
      <c r="BE146" s="613">
        <f t="shared" si="399"/>
        <v>298.733</v>
      </c>
      <c r="BF146" s="612">
        <f t="shared" si="399"/>
        <v>298.74</v>
      </c>
      <c r="BG146" s="613">
        <f t="shared" si="399"/>
        <v>39.734</v>
      </c>
      <c r="BH146" s="613">
        <f t="shared" si="399"/>
        <v>99.988</v>
      </c>
      <c r="BI146" s="613">
        <f t="shared" si="399"/>
        <v>97.331</v>
      </c>
      <c r="BJ146" s="613">
        <f t="shared" si="399"/>
        <v>385.126583385339</v>
      </c>
      <c r="BK146" s="612">
        <f t="shared" si="399"/>
        <v>385.119</v>
      </c>
      <c r="BL146" s="613">
        <f t="shared" si="399"/>
        <v>19.4</v>
      </c>
      <c r="BM146" s="613">
        <f t="shared" si="399"/>
        <v>102.038</v>
      </c>
      <c r="BN146" s="613">
        <f t="shared" si="399"/>
        <v>131.325</v>
      </c>
      <c r="BO146" s="613">
        <f t="shared" si="399"/>
        <v>489.353</v>
      </c>
      <c r="BP146" s="612">
        <f t="shared" si="399"/>
        <v>489.336</v>
      </c>
      <c r="BQ146" s="613">
        <f t="shared" si="399"/>
        <v>35.837</v>
      </c>
      <c r="BR146" s="613">
        <f t="shared" si="399"/>
        <v>210.026</v>
      </c>
      <c r="BS146" s="613">
        <f t="shared" ref="BS146:BZ146" si="400">SUM(BS132:BS135,BS143:BS144)</f>
        <v>316.876</v>
      </c>
      <c r="BT146" s="613">
        <f t="shared" si="400"/>
        <v>742.779</v>
      </c>
      <c r="BU146" s="612">
        <f t="shared" si="400"/>
        <v>742.779</v>
      </c>
      <c r="BV146" s="613">
        <f t="shared" si="400"/>
        <v>-62.803</v>
      </c>
      <c r="BW146" s="613">
        <f t="shared" si="400"/>
        <v>50.042</v>
      </c>
      <c r="BX146" s="613">
        <f t="shared" si="400"/>
        <v>95.106</v>
      </c>
      <c r="BY146" s="613">
        <f t="shared" si="400"/>
        <v>669.316</v>
      </c>
      <c r="BZ146" s="612">
        <f t="shared" si="400"/>
        <v>669.316</v>
      </c>
      <c r="CA146" s="613">
        <f t="shared" ref="CA146:CU146" si="401">SUM(CA132:CA135,CA143:CA144)</f>
        <v>-121.243</v>
      </c>
      <c r="CB146" s="613">
        <f t="shared" si="401"/>
        <v>60.0620000000001</v>
      </c>
      <c r="CC146" s="613">
        <f t="shared" si="401"/>
        <v>85.4039999999999</v>
      </c>
      <c r="CD146" s="613">
        <f t="shared" si="401"/>
        <v>803.336</v>
      </c>
      <c r="CE146" s="612">
        <f t="shared" si="401"/>
        <v>803.336</v>
      </c>
      <c r="CF146" s="613">
        <f t="shared" si="401"/>
        <v>214.109</v>
      </c>
      <c r="CG146" s="613">
        <f t="shared" si="401"/>
        <v>499.772</v>
      </c>
      <c r="CH146" s="613">
        <f t="shared" si="401"/>
        <v>658.124</v>
      </c>
      <c r="CI146" s="613">
        <f t="shared" si="401"/>
        <v>1389.108</v>
      </c>
      <c r="CJ146" s="612">
        <f t="shared" si="401"/>
        <v>1389.108</v>
      </c>
      <c r="CK146" s="613">
        <f t="shared" si="401"/>
        <v>-243.256</v>
      </c>
      <c r="CL146" s="613">
        <f t="shared" si="401"/>
        <v>-145.618</v>
      </c>
      <c r="CM146" s="613">
        <f t="shared" si="401"/>
        <v>-79.8010000000003</v>
      </c>
      <c r="CN146" s="613">
        <f t="shared" si="401"/>
        <v>966.463</v>
      </c>
      <c r="CO146" s="612">
        <f t="shared" si="401"/>
        <v>966.463</v>
      </c>
      <c r="CP146" s="613">
        <f t="shared" si="401"/>
        <v>45.5029999999997</v>
      </c>
      <c r="CQ146" s="613">
        <f t="shared" si="401"/>
        <v>522.213</v>
      </c>
      <c r="CR146" s="613">
        <f t="shared" si="401"/>
        <v>912.066</v>
      </c>
      <c r="CS146" s="613">
        <f t="shared" si="401"/>
        <v>2296.164</v>
      </c>
      <c r="CT146" s="612">
        <f t="shared" si="401"/>
        <v>2296.164</v>
      </c>
      <c r="CU146" s="613">
        <f t="shared" si="401"/>
        <v>127.524</v>
      </c>
      <c r="CV146" s="613">
        <f t="shared" ref="CV146:CX146" si="402">SUM(CV132:CV135,CV143:CV144)</f>
        <v>570.664</v>
      </c>
      <c r="CW146" s="613">
        <f t="shared" si="402"/>
        <v>871.323</v>
      </c>
      <c r="CX146" s="613">
        <f t="shared" si="402"/>
        <v>2272.713</v>
      </c>
      <c r="CY146" s="612">
        <f t="shared" ref="CY146:DC146" si="403">SUM(CY132:CY135,CY143:CY144)</f>
        <v>2272.713</v>
      </c>
      <c r="CZ146" s="613">
        <f t="shared" si="403"/>
        <v>-118.954</v>
      </c>
      <c r="DA146" s="613">
        <f t="shared" si="403"/>
        <v>209.722</v>
      </c>
      <c r="DB146" s="613">
        <f t="shared" si="403"/>
        <v>459.606</v>
      </c>
      <c r="DC146" s="613">
        <f t="shared" si="403"/>
        <v>1602.477</v>
      </c>
      <c r="DD146" s="612">
        <f t="shared" ref="DD146:DF146" si="404">SUM(DD132:DD135,DD143:DD144)</f>
        <v>1602.477</v>
      </c>
      <c r="DE146" s="613">
        <f t="shared" si="404"/>
        <v>214.44</v>
      </c>
      <c r="DF146" s="613">
        <f t="shared" si="404"/>
        <v>589.278</v>
      </c>
      <c r="DG146" s="613"/>
      <c r="DH146" s="613"/>
      <c r="DI146" s="612"/>
      <c r="DJ146" s="613"/>
      <c r="DK146" s="613"/>
      <c r="DL146" s="613"/>
      <c r="DM146" s="613"/>
      <c r="DN146" s="612"/>
      <c r="DO146" s="613"/>
      <c r="DP146" s="613"/>
      <c r="DQ146" s="613"/>
      <c r="DR146" s="613"/>
      <c r="DS146" s="612"/>
    </row>
    <row r="147" hidden="1" outlineLevel="1" spans="1:123">
      <c r="B147" s="609"/>
      <c r="C147" s="579"/>
      <c r="D147" s="580"/>
      <c r="E147" s="580"/>
      <c r="F147" s="580"/>
      <c r="G147" s="580"/>
      <c r="H147" s="579"/>
      <c r="I147" s="580"/>
      <c r="J147" s="580"/>
      <c r="K147" s="580"/>
      <c r="L147" s="580"/>
      <c r="M147" s="579"/>
      <c r="N147" s="580"/>
      <c r="O147" s="580"/>
      <c r="P147" s="580"/>
      <c r="Q147" s="580"/>
      <c r="R147" s="579"/>
      <c r="S147" s="580"/>
      <c r="T147" s="580"/>
      <c r="U147" s="580"/>
      <c r="V147" s="580"/>
      <c r="W147" s="579"/>
      <c r="X147" s="614"/>
      <c r="Y147" s="614"/>
      <c r="Z147" s="614"/>
      <c r="AA147" s="614"/>
      <c r="AB147" s="579"/>
      <c r="AC147" s="614"/>
      <c r="AD147" s="614"/>
      <c r="AE147" s="614"/>
      <c r="AF147" s="614"/>
      <c r="AG147" s="579"/>
      <c r="AH147" s="614"/>
      <c r="AI147" s="614"/>
      <c r="AJ147" s="614"/>
      <c r="AK147" s="580"/>
      <c r="AL147" s="579"/>
      <c r="AM147" s="614"/>
      <c r="AN147" s="614"/>
      <c r="AO147" s="614"/>
      <c r="AP147" s="580"/>
      <c r="AQ147" s="579"/>
      <c r="AR147" s="614"/>
      <c r="AS147" s="614"/>
      <c r="AT147" s="614"/>
      <c r="AU147" s="580"/>
      <c r="AV147" s="579"/>
      <c r="AW147" s="614"/>
      <c r="AX147" s="614"/>
      <c r="AY147" s="614"/>
      <c r="AZ147" s="580"/>
      <c r="BA147" s="579"/>
      <c r="BB147" s="614"/>
      <c r="BC147" s="614"/>
      <c r="BD147" s="614"/>
      <c r="BE147" s="580"/>
      <c r="BF147" s="579"/>
      <c r="BG147" s="614"/>
      <c r="BH147" s="614"/>
      <c r="BI147" s="614"/>
      <c r="BJ147" s="580"/>
      <c r="BK147" s="579"/>
      <c r="BL147" s="614"/>
      <c r="BM147" s="614"/>
      <c r="BN147" s="614"/>
      <c r="BO147" s="614"/>
      <c r="BP147" s="579"/>
      <c r="BQ147" s="614"/>
      <c r="BR147" s="614"/>
      <c r="BS147" s="614"/>
      <c r="BT147" s="614"/>
      <c r="BU147" s="579"/>
      <c r="BV147" s="614"/>
      <c r="BW147" s="614"/>
      <c r="BX147" s="614"/>
      <c r="BY147" s="614"/>
      <c r="BZ147" s="579"/>
      <c r="CA147" s="614"/>
      <c r="CB147" s="614"/>
      <c r="CC147" s="614"/>
      <c r="CD147" s="614"/>
      <c r="CE147" s="579"/>
      <c r="CF147" s="614"/>
      <c r="CG147" s="614"/>
      <c r="CH147" s="614"/>
      <c r="CI147" s="614"/>
      <c r="CJ147" s="579"/>
      <c r="CK147" s="614"/>
      <c r="CL147" s="614"/>
      <c r="CM147" s="614"/>
      <c r="CN147" s="614"/>
      <c r="CO147" s="579"/>
      <c r="CP147" s="614"/>
      <c r="CQ147" s="614"/>
      <c r="CR147" s="614"/>
      <c r="CS147" s="585"/>
      <c r="CT147" s="579"/>
      <c r="CU147" s="585"/>
      <c r="CV147" s="585"/>
      <c r="CW147" s="614"/>
      <c r="CX147" s="585"/>
      <c r="CY147" s="579"/>
      <c r="CZ147" s="585"/>
      <c r="DA147" s="585"/>
      <c r="DB147" s="614"/>
      <c r="DC147" s="585"/>
      <c r="DD147" s="579"/>
      <c r="DE147" s="585"/>
      <c r="DF147" s="585"/>
      <c r="DG147" s="585"/>
      <c r="DH147" s="585"/>
      <c r="DI147" s="579"/>
      <c r="DJ147" s="585"/>
      <c r="DK147" s="585"/>
      <c r="DL147" s="585"/>
      <c r="DM147" s="585"/>
      <c r="DN147" s="579"/>
      <c r="DO147" s="585"/>
      <c r="DP147" s="585"/>
      <c r="DQ147" s="585"/>
      <c r="DR147" s="585"/>
      <c r="DS147" s="579"/>
    </row>
    <row r="148" hidden="1" outlineLevel="1" spans="1:123">
      <c r="A148" s="6"/>
      <c r="B148" s="609" t="s">
        <v>112</v>
      </c>
      <c r="C148" s="579"/>
      <c r="D148" s="580"/>
      <c r="E148" s="580"/>
      <c r="F148" s="580"/>
      <c r="G148" s="580"/>
      <c r="H148" s="579"/>
      <c r="I148" s="580"/>
      <c r="J148" s="580"/>
      <c r="K148" s="580"/>
      <c r="L148" s="580"/>
      <c r="M148" s="579">
        <v>-12.532013</v>
      </c>
      <c r="N148" s="580"/>
      <c r="O148" s="580"/>
      <c r="P148" s="580"/>
      <c r="Q148" s="580"/>
      <c r="R148" s="579">
        <v>-29.126067</v>
      </c>
      <c r="S148" s="580"/>
      <c r="T148" s="580"/>
      <c r="U148" s="580"/>
      <c r="V148" s="580"/>
      <c r="W148" s="579">
        <v>-40.530459</v>
      </c>
      <c r="X148" s="580"/>
      <c r="Y148" s="580"/>
      <c r="Z148" s="580"/>
      <c r="AA148" s="580"/>
      <c r="AB148" s="579">
        <v>-15.497</v>
      </c>
      <c r="AC148" s="580"/>
      <c r="AD148" s="580"/>
      <c r="AE148" s="580"/>
      <c r="AF148" s="580"/>
      <c r="AG148" s="579">
        <v>-30.357</v>
      </c>
      <c r="AH148" s="580">
        <v>-74.831</v>
      </c>
      <c r="AI148" s="580">
        <v>-87.324</v>
      </c>
      <c r="AJ148" s="580">
        <v>-100.69</v>
      </c>
      <c r="AK148" s="580">
        <v>-116.657</v>
      </c>
      <c r="AL148" s="579">
        <v>-116.657</v>
      </c>
      <c r="AM148" s="580">
        <v>-12.696</v>
      </c>
      <c r="AN148" s="580">
        <v>-39.046</v>
      </c>
      <c r="AO148" s="580">
        <v>-72.041</v>
      </c>
      <c r="AP148" s="580">
        <v>-93.229</v>
      </c>
      <c r="AQ148" s="579">
        <v>-93.229</v>
      </c>
      <c r="AR148" s="580">
        <v>-20.976</v>
      </c>
      <c r="AS148" s="580">
        <v>-44.014</v>
      </c>
      <c r="AT148" s="580">
        <v>-71.945</v>
      </c>
      <c r="AU148" s="580">
        <v>-106.408</v>
      </c>
      <c r="AV148" s="579">
        <v>-106.408</v>
      </c>
      <c r="AW148" s="580">
        <v>-25.447</v>
      </c>
      <c r="AX148" s="580">
        <v>-52.102</v>
      </c>
      <c r="AY148" s="580">
        <v>-89.373</v>
      </c>
      <c r="AZ148" s="580">
        <v>-119.733</v>
      </c>
      <c r="BA148" s="579">
        <v>-119.733</v>
      </c>
      <c r="BB148" s="580">
        <v>-27.936</v>
      </c>
      <c r="BC148" s="580">
        <v>-65.118</v>
      </c>
      <c r="BD148" s="580">
        <v>-108.061</v>
      </c>
      <c r="BE148" s="580">
        <v>-143.487</v>
      </c>
      <c r="BF148" s="579">
        <v>-143.487</v>
      </c>
      <c r="BG148" s="580">
        <v>-26.644</v>
      </c>
      <c r="BH148" s="580">
        <v>-71.261</v>
      </c>
      <c r="BI148" s="580">
        <v>-106.168</v>
      </c>
      <c r="BJ148" s="580">
        <v>-149.511</v>
      </c>
      <c r="BK148" s="579">
        <v>-149.511</v>
      </c>
      <c r="BL148" s="580">
        <v>-19.879</v>
      </c>
      <c r="BM148" s="580">
        <v>-49.889</v>
      </c>
      <c r="BN148" s="580">
        <v>-107.128</v>
      </c>
      <c r="BO148" s="580">
        <v>-157.864</v>
      </c>
      <c r="BP148" s="579">
        <f>BO148</f>
        <v>-157.864</v>
      </c>
      <c r="BQ148" s="580">
        <v>-34.314</v>
      </c>
      <c r="BR148" s="580">
        <v>-84.007</v>
      </c>
      <c r="BS148" s="580">
        <v>-156.746</v>
      </c>
      <c r="BT148" s="580">
        <v>-225.807</v>
      </c>
      <c r="BU148" s="579">
        <f>BT148</f>
        <v>-225.807</v>
      </c>
      <c r="BV148" s="580">
        <v>-68.434</v>
      </c>
      <c r="BW148" s="580">
        <v>-135.764</v>
      </c>
      <c r="BX148" s="580">
        <v>-214.217</v>
      </c>
      <c r="BY148" s="580">
        <v>-283.048</v>
      </c>
      <c r="BZ148" s="579">
        <f>BY148</f>
        <v>-283.048</v>
      </c>
      <c r="CA148" s="580">
        <v>-52.101</v>
      </c>
      <c r="CB148" s="580">
        <v>-104.723</v>
      </c>
      <c r="CC148" s="580">
        <v>-170.83</v>
      </c>
      <c r="CD148" s="580">
        <v>-229.226</v>
      </c>
      <c r="CE148" s="579">
        <f>CD148</f>
        <v>-229.226</v>
      </c>
      <c r="CF148" s="580">
        <v>-64.225</v>
      </c>
      <c r="CG148" s="580">
        <v>-144.494</v>
      </c>
      <c r="CH148" s="580">
        <v>-266.991</v>
      </c>
      <c r="CI148" s="580">
        <v>-394.502</v>
      </c>
      <c r="CJ148" s="579">
        <f>CI148</f>
        <v>-394.502</v>
      </c>
      <c r="CK148" s="580">
        <v>-111.352</v>
      </c>
      <c r="CL148" s="580">
        <v>-256.07</v>
      </c>
      <c r="CM148" s="580">
        <v>-431.677</v>
      </c>
      <c r="CN148" s="580">
        <v>-638.657</v>
      </c>
      <c r="CO148" s="579">
        <f>CN148</f>
        <v>-638.657</v>
      </c>
      <c r="CP148" s="580">
        <v>-136.942</v>
      </c>
      <c r="CQ148" s="580">
        <v>-282.453</v>
      </c>
      <c r="CR148" s="580">
        <v>-445.353</v>
      </c>
      <c r="CS148" s="580">
        <v>-651.865</v>
      </c>
      <c r="CT148" s="579">
        <f>CS148</f>
        <v>-651.865</v>
      </c>
      <c r="CU148" s="580">
        <v>-130.681</v>
      </c>
      <c r="CV148" s="580">
        <v>-275.767</v>
      </c>
      <c r="CW148" s="580">
        <v>-454.25</v>
      </c>
      <c r="CX148" s="580">
        <v>-689.232</v>
      </c>
      <c r="CY148" s="579">
        <f>CX148</f>
        <v>-689.232</v>
      </c>
      <c r="CZ148" s="580">
        <v>-152.263</v>
      </c>
      <c r="DA148" s="580">
        <v>-330.161</v>
      </c>
      <c r="DB148" s="580">
        <v>-497.602</v>
      </c>
      <c r="DC148" s="580">
        <v>-680.802</v>
      </c>
      <c r="DD148" s="579">
        <f>DC148</f>
        <v>-680.802</v>
      </c>
      <c r="DE148" s="580">
        <v>-127.38</v>
      </c>
      <c r="DF148" s="580">
        <v>-277.056</v>
      </c>
      <c r="DG148" s="580"/>
      <c r="DH148" s="580"/>
      <c r="DI148" s="579"/>
      <c r="DJ148" s="580"/>
      <c r="DK148" s="580"/>
      <c r="DL148" s="580"/>
      <c r="DM148" s="580"/>
      <c r="DN148" s="579"/>
      <c r="DO148" s="580"/>
      <c r="DP148" s="580"/>
      <c r="DQ148" s="580"/>
      <c r="DR148" s="580"/>
      <c r="DS148" s="579"/>
    </row>
    <row r="149" hidden="1" outlineLevel="1" spans="1:123">
      <c r="A149" s="6"/>
      <c r="B149" s="609" t="s">
        <v>113</v>
      </c>
      <c r="C149" s="579"/>
      <c r="D149" s="580"/>
      <c r="E149" s="580"/>
      <c r="F149" s="580"/>
      <c r="G149" s="580"/>
      <c r="H149" s="579"/>
      <c r="I149" s="580"/>
      <c r="J149" s="580"/>
      <c r="K149" s="580"/>
      <c r="L149" s="580"/>
      <c r="M149" s="579">
        <v>-0.51185</v>
      </c>
      <c r="N149" s="580"/>
      <c r="O149" s="580"/>
      <c r="P149" s="580"/>
      <c r="Q149" s="580"/>
      <c r="R149" s="579">
        <v>-5.559179</v>
      </c>
      <c r="S149" s="580"/>
      <c r="T149" s="580"/>
      <c r="U149" s="580"/>
      <c r="V149" s="580"/>
      <c r="W149" s="579">
        <v>-3.401633</v>
      </c>
      <c r="X149" s="580"/>
      <c r="Y149" s="580"/>
      <c r="Z149" s="580"/>
      <c r="AA149" s="580"/>
      <c r="AB149" s="579">
        <v>-0.81</v>
      </c>
      <c r="AC149" s="580"/>
      <c r="AD149" s="580"/>
      <c r="AE149" s="580"/>
      <c r="AF149" s="580"/>
      <c r="AG149" s="579">
        <v>-12.482</v>
      </c>
      <c r="AH149" s="580">
        <v>0</v>
      </c>
      <c r="AI149" s="580">
        <v>0</v>
      </c>
      <c r="AJ149" s="580">
        <v>-5.654</v>
      </c>
      <c r="AK149" s="580">
        <v>-5.654</v>
      </c>
      <c r="AL149" s="579">
        <v>-5.654</v>
      </c>
      <c r="AM149" s="580">
        <v>0</v>
      </c>
      <c r="AN149" s="580">
        <v>0</v>
      </c>
      <c r="AO149" s="580">
        <v>0</v>
      </c>
      <c r="AP149" s="580">
        <v>0</v>
      </c>
      <c r="AQ149" s="579">
        <v>0</v>
      </c>
      <c r="AR149" s="580">
        <v>0</v>
      </c>
      <c r="AS149" s="580">
        <v>0</v>
      </c>
      <c r="AT149" s="580">
        <v>0</v>
      </c>
      <c r="AU149" s="580">
        <v>0</v>
      </c>
      <c r="AV149" s="579">
        <v>0</v>
      </c>
      <c r="AW149" s="580">
        <v>0</v>
      </c>
      <c r="AX149" s="580">
        <v>0</v>
      </c>
      <c r="AY149" s="580">
        <v>0</v>
      </c>
      <c r="AZ149" s="580">
        <v>0</v>
      </c>
      <c r="BA149" s="579">
        <v>0</v>
      </c>
      <c r="BB149" s="580">
        <v>0</v>
      </c>
      <c r="BC149" s="580">
        <v>0</v>
      </c>
      <c r="BD149" s="580">
        <v>0</v>
      </c>
      <c r="BE149" s="580">
        <v>0</v>
      </c>
      <c r="BF149" s="579">
        <v>0</v>
      </c>
      <c r="BG149" s="580">
        <v>0</v>
      </c>
      <c r="BH149" s="580">
        <v>0</v>
      </c>
      <c r="BI149" s="580">
        <v>0</v>
      </c>
      <c r="BJ149" s="580">
        <v>0</v>
      </c>
      <c r="BK149" s="579">
        <v>0</v>
      </c>
      <c r="BL149" s="580">
        <v>0</v>
      </c>
      <c r="BM149" s="580">
        <v>0</v>
      </c>
      <c r="BN149" s="580">
        <v>0</v>
      </c>
      <c r="BO149" s="580">
        <v>0</v>
      </c>
      <c r="BP149" s="579">
        <f>BO149</f>
        <v>0</v>
      </c>
      <c r="BQ149" s="580">
        <v>0</v>
      </c>
      <c r="BR149" s="580">
        <v>0</v>
      </c>
      <c r="BS149" s="580">
        <v>0</v>
      </c>
      <c r="BT149" s="580">
        <v>0</v>
      </c>
      <c r="BU149" s="579">
        <f>BT149</f>
        <v>0</v>
      </c>
      <c r="BV149" s="580">
        <v>0</v>
      </c>
      <c r="BW149" s="580">
        <v>0</v>
      </c>
      <c r="BX149" s="580">
        <v>0</v>
      </c>
      <c r="BY149" s="580">
        <v>0</v>
      </c>
      <c r="BZ149" s="579">
        <f>BY149</f>
        <v>0</v>
      </c>
      <c r="CA149" s="580">
        <v>0</v>
      </c>
      <c r="CB149" s="580">
        <v>-452.581</v>
      </c>
      <c r="CC149" s="580">
        <v>-452.581</v>
      </c>
      <c r="CD149" s="580">
        <v>-452.581</v>
      </c>
      <c r="CE149" s="579">
        <f>CD149</f>
        <v>-452.581</v>
      </c>
      <c r="CF149" s="580">
        <v>0</v>
      </c>
      <c r="CG149" s="580">
        <v>0</v>
      </c>
      <c r="CH149" s="580">
        <v>0</v>
      </c>
      <c r="CI149" s="580">
        <v>0</v>
      </c>
      <c r="CJ149" s="579">
        <f>CI149</f>
        <v>0</v>
      </c>
      <c r="CK149" s="580">
        <v>0</v>
      </c>
      <c r="CL149" s="580">
        <v>0</v>
      </c>
      <c r="CM149" s="580">
        <v>0</v>
      </c>
      <c r="CN149" s="580">
        <v>0</v>
      </c>
      <c r="CO149" s="579">
        <f>CN149</f>
        <v>0</v>
      </c>
      <c r="CP149" s="580">
        <v>0</v>
      </c>
      <c r="CQ149" s="580">
        <v>0</v>
      </c>
      <c r="CR149" s="580">
        <v>0</v>
      </c>
      <c r="CS149" s="580">
        <v>0</v>
      </c>
      <c r="CT149" s="579">
        <f>CS149</f>
        <v>0</v>
      </c>
      <c r="CU149" s="580">
        <v>0</v>
      </c>
      <c r="CV149" s="580">
        <v>0</v>
      </c>
      <c r="CW149" s="580">
        <v>-130.996</v>
      </c>
      <c r="CX149" s="580">
        <v>-154.146</v>
      </c>
      <c r="CY149" s="579">
        <f>CX149</f>
        <v>-154.146</v>
      </c>
      <c r="CZ149" s="580">
        <v>0</v>
      </c>
      <c r="DA149" s="580">
        <v>0</v>
      </c>
      <c r="DB149" s="580">
        <v>0</v>
      </c>
      <c r="DC149" s="580">
        <v>0</v>
      </c>
      <c r="DD149" s="579">
        <f>DC149</f>
        <v>0</v>
      </c>
      <c r="DE149" s="580">
        <v>0</v>
      </c>
      <c r="DF149" s="580">
        <v>0</v>
      </c>
      <c r="DG149" s="580"/>
      <c r="DH149" s="580"/>
      <c r="DI149" s="579"/>
      <c r="DJ149" s="580"/>
      <c r="DK149" s="580"/>
      <c r="DL149" s="580"/>
      <c r="DM149" s="580"/>
      <c r="DN149" s="579"/>
      <c r="DO149" s="580"/>
      <c r="DP149" s="580"/>
      <c r="DQ149" s="580"/>
      <c r="DR149" s="580"/>
      <c r="DS149" s="579"/>
    </row>
    <row r="150" hidden="1" outlineLevel="1" spans="1:123">
      <c r="A150" s="6"/>
      <c r="B150" s="609" t="s">
        <v>55</v>
      </c>
      <c r="C150" s="579"/>
      <c r="D150" s="580"/>
      <c r="E150" s="580"/>
      <c r="F150" s="580"/>
      <c r="G150" s="580"/>
      <c r="H150" s="579"/>
      <c r="I150" s="580"/>
      <c r="J150" s="580"/>
      <c r="K150" s="580"/>
      <c r="L150" s="580"/>
      <c r="M150" s="579">
        <v>-0.305807</v>
      </c>
      <c r="N150" s="580"/>
      <c r="O150" s="580"/>
      <c r="P150" s="580"/>
      <c r="Q150" s="580"/>
      <c r="R150" s="579">
        <v>-0.549873</v>
      </c>
      <c r="S150" s="580"/>
      <c r="T150" s="580"/>
      <c r="U150" s="580"/>
      <c r="V150" s="580"/>
      <c r="W150" s="579">
        <v>-2.863353</v>
      </c>
      <c r="X150" s="580"/>
      <c r="Y150" s="580"/>
      <c r="Z150" s="580"/>
      <c r="AA150" s="580"/>
      <c r="AB150" s="579">
        <v>0</v>
      </c>
      <c r="AC150" s="580"/>
      <c r="AD150" s="580"/>
      <c r="AE150" s="580"/>
      <c r="AF150" s="580"/>
      <c r="AG150" s="579">
        <v>0</v>
      </c>
      <c r="AH150" s="580">
        <v>0</v>
      </c>
      <c r="AI150" s="580">
        <v>0</v>
      </c>
      <c r="AJ150" s="580">
        <v>0</v>
      </c>
      <c r="AK150" s="580">
        <v>0</v>
      </c>
      <c r="AL150" s="579">
        <v>0</v>
      </c>
      <c r="AM150" s="580">
        <v>0</v>
      </c>
      <c r="AN150" s="580">
        <v>0</v>
      </c>
      <c r="AO150" s="580">
        <v>0</v>
      </c>
      <c r="AP150" s="580">
        <v>0</v>
      </c>
      <c r="AQ150" s="579">
        <v>0</v>
      </c>
      <c r="AR150" s="580">
        <v>0</v>
      </c>
      <c r="AS150" s="580">
        <v>0</v>
      </c>
      <c r="AT150" s="580">
        <v>0</v>
      </c>
      <c r="AU150" s="580">
        <v>0</v>
      </c>
      <c r="AV150" s="579">
        <v>0</v>
      </c>
      <c r="AW150" s="580">
        <v>0</v>
      </c>
      <c r="AX150" s="580">
        <v>0</v>
      </c>
      <c r="AY150" s="580">
        <v>0</v>
      </c>
      <c r="AZ150" s="580">
        <v>0</v>
      </c>
      <c r="BA150" s="579">
        <v>0</v>
      </c>
      <c r="BB150" s="580">
        <v>0</v>
      </c>
      <c r="BC150" s="580">
        <v>0</v>
      </c>
      <c r="BD150" s="580">
        <v>0</v>
      </c>
      <c r="BE150" s="580">
        <v>0</v>
      </c>
      <c r="BF150" s="579">
        <v>0</v>
      </c>
      <c r="BG150" s="580">
        <v>0</v>
      </c>
      <c r="BH150" s="580">
        <v>0</v>
      </c>
      <c r="BI150" s="580">
        <v>0</v>
      </c>
      <c r="BJ150" s="580">
        <v>0</v>
      </c>
      <c r="BK150" s="579">
        <v>0</v>
      </c>
      <c r="BL150" s="580">
        <v>0</v>
      </c>
      <c r="BM150" s="580">
        <v>0</v>
      </c>
      <c r="BN150" s="580">
        <v>-12.923</v>
      </c>
      <c r="BO150" s="580">
        <f>-7.203-8.325</f>
        <v>-15.528</v>
      </c>
      <c r="BP150" s="579">
        <f>BO150</f>
        <v>-15.528</v>
      </c>
      <c r="BQ150" s="580">
        <v>0</v>
      </c>
      <c r="BR150" s="615">
        <f>-4.514-0.771</f>
        <v>-5.285</v>
      </c>
      <c r="BS150" s="615">
        <f>-8.397-0.771</f>
        <v>-9.168</v>
      </c>
      <c r="BT150" s="580">
        <f>-16.216-0.771</f>
        <v>-16.987</v>
      </c>
      <c r="BU150" s="579">
        <f>BT150</f>
        <v>-16.987</v>
      </c>
      <c r="BV150" s="580">
        <f>4.657-0.131</f>
        <v>4.526</v>
      </c>
      <c r="BW150" s="615">
        <f>5.062-1.267</f>
        <v>3.795</v>
      </c>
      <c r="BX150" s="615">
        <f>3.378-1.636</f>
        <v>1.742</v>
      </c>
      <c r="BY150" s="580">
        <f>0.347+4.293</f>
        <v>4.64</v>
      </c>
      <c r="BZ150" s="579">
        <f>BY150</f>
        <v>4.64</v>
      </c>
      <c r="CA150" s="615">
        <v>6.475</v>
      </c>
      <c r="CB150" s="615">
        <f>10.981+1</f>
        <v>11.981</v>
      </c>
      <c r="CC150" s="615">
        <f>5.867+1</f>
        <v>6.867</v>
      </c>
      <c r="CD150" s="615">
        <f>-14.607+0.882</f>
        <v>-13.725</v>
      </c>
      <c r="CE150" s="579">
        <f>CD150</f>
        <v>-13.725</v>
      </c>
      <c r="CF150" s="615">
        <v>-21.239</v>
      </c>
      <c r="CG150" s="615">
        <f>-46.999-10</f>
        <v>-56.999</v>
      </c>
      <c r="CH150" s="615">
        <f>-36.447-10</f>
        <v>-46.447</v>
      </c>
      <c r="CI150" s="615">
        <f>-23.389-10</f>
        <v>-33.389</v>
      </c>
      <c r="CJ150" s="579">
        <f>CI150</f>
        <v>-33.389</v>
      </c>
      <c r="CK150" s="615">
        <v>10.024</v>
      </c>
      <c r="CL150" s="615">
        <f>15.469+15.657</f>
        <v>31.126</v>
      </c>
      <c r="CM150" s="615">
        <f>29.158+15.657</f>
        <v>44.815</v>
      </c>
      <c r="CN150" s="615">
        <f>47.804+20.916</f>
        <v>68.72</v>
      </c>
      <c r="CO150" s="579">
        <f>CN150</f>
        <v>68.72</v>
      </c>
      <c r="CP150" s="615">
        <v>-1.277</v>
      </c>
      <c r="CQ150" s="615">
        <f>-0.549-0.658</f>
        <v>-1.207</v>
      </c>
      <c r="CR150" s="615">
        <f>0.686-0.658</f>
        <v>0.028</v>
      </c>
      <c r="CS150" s="615">
        <f>-1.609-0.658</f>
        <v>-2.267</v>
      </c>
      <c r="CT150" s="579">
        <f>CS150</f>
        <v>-2.267</v>
      </c>
      <c r="CU150" s="615">
        <v>-0.856</v>
      </c>
      <c r="CV150" s="615">
        <f>14.151-5.009</f>
        <v>9.142</v>
      </c>
      <c r="CW150" s="615">
        <f>-5.009+15.041</f>
        <v>10.032</v>
      </c>
      <c r="CX150" s="615">
        <f>-5.009+50.213</f>
        <v>45.204</v>
      </c>
      <c r="CY150" s="579">
        <f>CX150</f>
        <v>45.204</v>
      </c>
      <c r="CZ150" s="615">
        <f>-3.25+48.671</f>
        <v>45.421</v>
      </c>
      <c r="DA150" s="615">
        <f>-3.25+13.451</f>
        <v>10.201</v>
      </c>
      <c r="DB150" s="615">
        <f>-3.737+12.282</f>
        <v>8.545</v>
      </c>
      <c r="DC150" s="615">
        <f>-8.521+27.205</f>
        <v>18.684</v>
      </c>
      <c r="DD150" s="579">
        <f>DC150</f>
        <v>18.684</v>
      </c>
      <c r="DE150" s="615">
        <v>-11.47</v>
      </c>
      <c r="DF150" s="615">
        <f>-2.807-1.939</f>
        <v>-4.746</v>
      </c>
      <c r="DG150" s="615"/>
      <c r="DH150" s="615"/>
      <c r="DI150" s="579"/>
      <c r="DJ150" s="615"/>
      <c r="DK150" s="615"/>
      <c r="DL150" s="615"/>
      <c r="DM150" s="615"/>
      <c r="DN150" s="579"/>
      <c r="DO150" s="615"/>
      <c r="DP150" s="615"/>
      <c r="DQ150" s="615"/>
      <c r="DR150" s="615"/>
      <c r="DS150" s="579"/>
    </row>
    <row r="151" hidden="1" outlineLevel="1" spans="1:123">
      <c r="B151" s="609"/>
      <c r="C151" s="579"/>
      <c r="D151" s="580"/>
      <c r="E151" s="580"/>
      <c r="F151" s="580"/>
      <c r="G151" s="580"/>
      <c r="H151" s="579"/>
      <c r="I151" s="580"/>
      <c r="J151" s="580"/>
      <c r="K151" s="580"/>
      <c r="L151" s="580"/>
      <c r="M151" s="579"/>
      <c r="N151" s="580"/>
      <c r="O151" s="580"/>
      <c r="P151" s="580"/>
      <c r="Q151" s="580"/>
      <c r="R151" s="579"/>
      <c r="S151" s="580"/>
      <c r="T151" s="580"/>
      <c r="U151" s="580"/>
      <c r="V151" s="580"/>
      <c r="W151" s="579"/>
      <c r="X151" s="580"/>
      <c r="Y151" s="580"/>
      <c r="Z151" s="580"/>
      <c r="AA151" s="580"/>
      <c r="AB151" s="579"/>
      <c r="AC151" s="580"/>
      <c r="AD151" s="580"/>
      <c r="AE151" s="580"/>
      <c r="AF151" s="580"/>
      <c r="AG151" s="579"/>
      <c r="AH151" s="580"/>
      <c r="AI151" s="580"/>
      <c r="AJ151" s="580"/>
      <c r="AK151" s="580"/>
      <c r="AL151" s="579"/>
      <c r="AM151" s="580"/>
      <c r="AN151" s="580"/>
      <c r="AO151" s="580"/>
      <c r="AP151" s="580"/>
      <c r="AQ151" s="579"/>
      <c r="AR151" s="580"/>
      <c r="AS151" s="580"/>
      <c r="AT151" s="580"/>
      <c r="AU151" s="580"/>
      <c r="AV151" s="579"/>
      <c r="AW151" s="580"/>
      <c r="AX151" s="580"/>
      <c r="AY151" s="580"/>
      <c r="AZ151" s="580"/>
      <c r="BA151" s="579"/>
      <c r="BB151" s="580"/>
      <c r="BC151" s="580"/>
      <c r="BD151" s="580"/>
      <c r="BE151" s="580"/>
      <c r="BF151" s="579"/>
      <c r="BG151" s="580"/>
      <c r="BH151" s="580"/>
      <c r="BI151" s="580"/>
      <c r="BJ151" s="580"/>
      <c r="BK151" s="579"/>
      <c r="BL151" s="580"/>
      <c r="BM151" s="580"/>
      <c r="BN151" s="580"/>
      <c r="BO151" s="580"/>
      <c r="BP151" s="579"/>
      <c r="BQ151" s="580"/>
      <c r="BR151" s="580"/>
      <c r="BS151" s="580"/>
      <c r="BT151" s="580"/>
      <c r="BU151" s="579"/>
      <c r="BV151" s="580"/>
      <c r="BW151" s="580"/>
      <c r="BX151" s="580"/>
      <c r="BY151" s="580"/>
      <c r="BZ151" s="579"/>
      <c r="CA151" s="580"/>
      <c r="CB151" s="580"/>
      <c r="CC151" s="580"/>
      <c r="CD151" s="580"/>
      <c r="CE151" s="579"/>
      <c r="CF151" s="580"/>
      <c r="CG151" s="580"/>
      <c r="CH151" s="580"/>
      <c r="CI151" s="580"/>
      <c r="CJ151" s="579"/>
      <c r="CK151" s="580"/>
      <c r="CL151" s="580"/>
      <c r="CM151" s="580"/>
      <c r="CN151" s="580"/>
      <c r="CO151" s="579"/>
      <c r="CP151" s="580"/>
      <c r="CQ151" s="580"/>
      <c r="CR151" s="580"/>
      <c r="CS151" s="580"/>
      <c r="CT151" s="579"/>
      <c r="CU151" s="580"/>
      <c r="CV151" s="580"/>
      <c r="CW151" s="580"/>
      <c r="CX151" s="580"/>
      <c r="CY151" s="579"/>
      <c r="CZ151" s="580"/>
      <c r="DA151" s="580"/>
      <c r="DB151" s="580"/>
      <c r="DC151" s="580"/>
      <c r="DD151" s="579"/>
      <c r="DE151" s="580"/>
      <c r="DF151" s="580"/>
      <c r="DG151" s="580"/>
      <c r="DH151" s="580"/>
      <c r="DI151" s="579"/>
      <c r="DJ151" s="580"/>
      <c r="DK151" s="580"/>
      <c r="DL151" s="580"/>
      <c r="DM151" s="580"/>
      <c r="DN151" s="579"/>
      <c r="DO151" s="580"/>
      <c r="DP151" s="580"/>
      <c r="DQ151" s="580"/>
      <c r="DR151" s="580"/>
      <c r="DS151" s="579"/>
    </row>
    <row r="152" s="3" customFormat="1" hidden="1" outlineLevel="1" spans="1:123">
      <c r="A152" s="132"/>
      <c r="B152" s="611" t="s">
        <v>114</v>
      </c>
      <c r="C152" s="612"/>
      <c r="D152" s="613"/>
      <c r="E152" s="613"/>
      <c r="F152" s="613"/>
      <c r="G152" s="613"/>
      <c r="H152" s="612"/>
      <c r="I152" s="613"/>
      <c r="J152" s="613"/>
      <c r="K152" s="613"/>
      <c r="L152" s="613"/>
      <c r="M152" s="612">
        <f>SUM(M148:M150)</f>
        <v>-13.34967</v>
      </c>
      <c r="N152" s="613"/>
      <c r="O152" s="613"/>
      <c r="P152" s="613"/>
      <c r="Q152" s="613"/>
      <c r="R152" s="612">
        <f>SUM(R148:R150)</f>
        <v>-35.235119</v>
      </c>
      <c r="S152" s="613"/>
      <c r="T152" s="613"/>
      <c r="U152" s="613"/>
      <c r="V152" s="613"/>
      <c r="W152" s="612">
        <f>SUM(W148:W150)</f>
        <v>-46.795445</v>
      </c>
      <c r="X152" s="613"/>
      <c r="Y152" s="613"/>
      <c r="Z152" s="613"/>
      <c r="AA152" s="613"/>
      <c r="AB152" s="612">
        <f>SUM(AB148:AB150)</f>
        <v>-16.307</v>
      </c>
      <c r="AC152" s="613"/>
      <c r="AD152" s="613"/>
      <c r="AE152" s="613"/>
      <c r="AF152" s="613"/>
      <c r="AG152" s="612">
        <f t="shared" ref="AG152:BZ152" si="405">SUM(AG148:AG150)</f>
        <v>-42.839</v>
      </c>
      <c r="AH152" s="613">
        <f t="shared" si="405"/>
        <v>-74.831</v>
      </c>
      <c r="AI152" s="613">
        <f t="shared" si="405"/>
        <v>-87.324</v>
      </c>
      <c r="AJ152" s="613">
        <f t="shared" si="405"/>
        <v>-106.344</v>
      </c>
      <c r="AK152" s="613">
        <f t="shared" si="405"/>
        <v>-122.311</v>
      </c>
      <c r="AL152" s="612">
        <f t="shared" si="405"/>
        <v>-122.311</v>
      </c>
      <c r="AM152" s="613">
        <f t="shared" si="405"/>
        <v>-12.696</v>
      </c>
      <c r="AN152" s="613">
        <f t="shared" si="405"/>
        <v>-39.046</v>
      </c>
      <c r="AO152" s="613">
        <f t="shared" si="405"/>
        <v>-72.041</v>
      </c>
      <c r="AP152" s="613">
        <f t="shared" si="405"/>
        <v>-93.229</v>
      </c>
      <c r="AQ152" s="612">
        <f t="shared" si="405"/>
        <v>-93.229</v>
      </c>
      <c r="AR152" s="613">
        <f t="shared" si="405"/>
        <v>-20.976</v>
      </c>
      <c r="AS152" s="613">
        <f t="shared" si="405"/>
        <v>-44.014</v>
      </c>
      <c r="AT152" s="613">
        <f t="shared" si="405"/>
        <v>-71.945</v>
      </c>
      <c r="AU152" s="613">
        <f t="shared" si="405"/>
        <v>-106.408</v>
      </c>
      <c r="AV152" s="612">
        <f t="shared" si="405"/>
        <v>-106.408</v>
      </c>
      <c r="AW152" s="613">
        <f t="shared" si="405"/>
        <v>-25.447</v>
      </c>
      <c r="AX152" s="613">
        <f t="shared" si="405"/>
        <v>-52.102</v>
      </c>
      <c r="AY152" s="613">
        <f t="shared" si="405"/>
        <v>-89.373</v>
      </c>
      <c r="AZ152" s="613">
        <f t="shared" si="405"/>
        <v>-119.733</v>
      </c>
      <c r="BA152" s="612">
        <f t="shared" si="405"/>
        <v>-119.733</v>
      </c>
      <c r="BB152" s="613">
        <f t="shared" si="405"/>
        <v>-27.936</v>
      </c>
      <c r="BC152" s="613">
        <f t="shared" si="405"/>
        <v>-65.118</v>
      </c>
      <c r="BD152" s="613">
        <f t="shared" si="405"/>
        <v>-108.061</v>
      </c>
      <c r="BE152" s="613">
        <f t="shared" si="405"/>
        <v>-143.487</v>
      </c>
      <c r="BF152" s="612">
        <f t="shared" si="405"/>
        <v>-143.487</v>
      </c>
      <c r="BG152" s="613">
        <f t="shared" si="405"/>
        <v>-26.644</v>
      </c>
      <c r="BH152" s="613">
        <f t="shared" si="405"/>
        <v>-71.261</v>
      </c>
      <c r="BI152" s="613">
        <f t="shared" si="405"/>
        <v>-106.168</v>
      </c>
      <c r="BJ152" s="613">
        <f t="shared" si="405"/>
        <v>-149.511</v>
      </c>
      <c r="BK152" s="612">
        <f t="shared" si="405"/>
        <v>-149.511</v>
      </c>
      <c r="BL152" s="613">
        <f t="shared" si="405"/>
        <v>-19.879</v>
      </c>
      <c r="BM152" s="613">
        <f t="shared" si="405"/>
        <v>-49.889</v>
      </c>
      <c r="BN152" s="613">
        <f t="shared" si="405"/>
        <v>-120.051</v>
      </c>
      <c r="BO152" s="613">
        <f t="shared" si="405"/>
        <v>-173.392</v>
      </c>
      <c r="BP152" s="612">
        <f t="shared" si="405"/>
        <v>-173.392</v>
      </c>
      <c r="BQ152" s="613">
        <f t="shared" si="405"/>
        <v>-34.314</v>
      </c>
      <c r="BR152" s="613">
        <f t="shared" si="405"/>
        <v>-89.292</v>
      </c>
      <c r="BS152" s="613">
        <f t="shared" si="405"/>
        <v>-165.914</v>
      </c>
      <c r="BT152" s="613">
        <f t="shared" si="405"/>
        <v>-242.794</v>
      </c>
      <c r="BU152" s="612">
        <f t="shared" si="405"/>
        <v>-242.794</v>
      </c>
      <c r="BV152" s="613">
        <f t="shared" si="405"/>
        <v>-63.908</v>
      </c>
      <c r="BW152" s="613">
        <f t="shared" si="405"/>
        <v>-131.969</v>
      </c>
      <c r="BX152" s="613">
        <f t="shared" si="405"/>
        <v>-212.475</v>
      </c>
      <c r="BY152" s="613">
        <f t="shared" si="405"/>
        <v>-278.408</v>
      </c>
      <c r="BZ152" s="612">
        <f t="shared" si="405"/>
        <v>-278.408</v>
      </c>
      <c r="CA152" s="613">
        <f t="shared" ref="CA152:CI152" si="406">SUM(CA148:CA150)</f>
        <v>-45.626</v>
      </c>
      <c r="CB152" s="613">
        <f t="shared" si="406"/>
        <v>-545.323</v>
      </c>
      <c r="CC152" s="613">
        <f t="shared" si="406"/>
        <v>-616.544</v>
      </c>
      <c r="CD152" s="613">
        <f t="shared" si="406"/>
        <v>-695.532</v>
      </c>
      <c r="CE152" s="612">
        <f t="shared" si="406"/>
        <v>-695.532</v>
      </c>
      <c r="CF152" s="613">
        <f t="shared" si="406"/>
        <v>-85.464</v>
      </c>
      <c r="CG152" s="613">
        <f t="shared" si="406"/>
        <v>-201.493</v>
      </c>
      <c r="CH152" s="613">
        <f t="shared" si="406"/>
        <v>-313.438</v>
      </c>
      <c r="CI152" s="613">
        <f t="shared" si="406"/>
        <v>-427.891</v>
      </c>
      <c r="CJ152" s="612">
        <f t="shared" ref="CJ152:CU152" si="407">SUM(CJ148:CJ150)</f>
        <v>-427.891</v>
      </c>
      <c r="CK152" s="613">
        <f t="shared" si="407"/>
        <v>-101.328</v>
      </c>
      <c r="CL152" s="613">
        <f t="shared" si="407"/>
        <v>-224.944</v>
      </c>
      <c r="CM152" s="613">
        <f t="shared" si="407"/>
        <v>-386.862</v>
      </c>
      <c r="CN152" s="613">
        <f t="shared" si="407"/>
        <v>-569.937</v>
      </c>
      <c r="CO152" s="612">
        <f t="shared" si="407"/>
        <v>-569.937</v>
      </c>
      <c r="CP152" s="613">
        <f t="shared" si="407"/>
        <v>-138.219</v>
      </c>
      <c r="CQ152" s="613">
        <f t="shared" si="407"/>
        <v>-283.66</v>
      </c>
      <c r="CR152" s="613">
        <f t="shared" si="407"/>
        <v>-445.325</v>
      </c>
      <c r="CS152" s="613">
        <f t="shared" si="407"/>
        <v>-654.132</v>
      </c>
      <c r="CT152" s="612">
        <f t="shared" si="407"/>
        <v>-654.132</v>
      </c>
      <c r="CU152" s="613">
        <f t="shared" si="407"/>
        <v>-131.537</v>
      </c>
      <c r="CV152" s="613">
        <f t="shared" ref="CV152:CX152" si="408">SUM(CV148:CV150)</f>
        <v>-266.625</v>
      </c>
      <c r="CW152" s="613">
        <f t="shared" si="408"/>
        <v>-575.214</v>
      </c>
      <c r="CX152" s="613">
        <f t="shared" si="408"/>
        <v>-798.174</v>
      </c>
      <c r="CY152" s="612">
        <f t="shared" ref="CY152:DC152" si="409">SUM(CY148:CY150)</f>
        <v>-798.174</v>
      </c>
      <c r="CZ152" s="613">
        <f t="shared" si="409"/>
        <v>-106.842</v>
      </c>
      <c r="DA152" s="613">
        <f t="shared" si="409"/>
        <v>-319.96</v>
      </c>
      <c r="DB152" s="613">
        <f t="shared" si="409"/>
        <v>-489.057</v>
      </c>
      <c r="DC152" s="613">
        <f t="shared" si="409"/>
        <v>-662.118</v>
      </c>
      <c r="DD152" s="612">
        <f t="shared" ref="DD152:DF152" si="410">SUM(DD148:DD150)</f>
        <v>-662.118</v>
      </c>
      <c r="DE152" s="613">
        <f t="shared" si="410"/>
        <v>-138.85</v>
      </c>
      <c r="DF152" s="613">
        <f t="shared" si="410"/>
        <v>-281.802</v>
      </c>
      <c r="DG152" s="613"/>
      <c r="DH152" s="613"/>
      <c r="DI152" s="612"/>
      <c r="DJ152" s="613"/>
      <c r="DK152" s="613"/>
      <c r="DL152" s="613"/>
      <c r="DM152" s="613"/>
      <c r="DN152" s="612"/>
      <c r="DO152" s="613"/>
      <c r="DP152" s="613"/>
      <c r="DQ152" s="613"/>
      <c r="DR152" s="613"/>
      <c r="DS152" s="612"/>
    </row>
    <row r="153" hidden="1" outlineLevel="1" spans="1:123">
      <c r="B153" s="609"/>
      <c r="C153" s="579"/>
      <c r="D153" s="580"/>
      <c r="E153" s="580"/>
      <c r="F153" s="580"/>
      <c r="G153" s="580"/>
      <c r="H153" s="579"/>
      <c r="I153" s="580"/>
      <c r="J153" s="580"/>
      <c r="K153" s="580"/>
      <c r="L153" s="580"/>
      <c r="M153" s="579"/>
      <c r="N153" s="580"/>
      <c r="O153" s="580"/>
      <c r="P153" s="580"/>
      <c r="Q153" s="580"/>
      <c r="R153" s="579"/>
      <c r="S153" s="580"/>
      <c r="T153" s="580"/>
      <c r="U153" s="580"/>
      <c r="V153" s="580"/>
      <c r="W153" s="579"/>
      <c r="X153" s="580"/>
      <c r="Y153" s="580"/>
      <c r="Z153" s="580"/>
      <c r="AA153" s="580"/>
      <c r="AB153" s="579"/>
      <c r="AC153" s="580"/>
      <c r="AD153" s="580"/>
      <c r="AE153" s="580"/>
      <c r="AF153" s="580"/>
      <c r="AG153" s="579"/>
      <c r="AH153" s="580"/>
      <c r="AI153" s="580"/>
      <c r="AJ153" s="580"/>
      <c r="AK153" s="580"/>
      <c r="AL153" s="579"/>
      <c r="AM153" s="580"/>
      <c r="AN153" s="580"/>
      <c r="AO153" s="580"/>
      <c r="AP153" s="580"/>
      <c r="AQ153" s="579"/>
      <c r="AR153" s="580"/>
      <c r="AS153" s="580"/>
      <c r="AT153" s="580"/>
      <c r="AU153" s="580"/>
      <c r="AV153" s="579"/>
      <c r="AW153" s="580"/>
      <c r="AX153" s="580"/>
      <c r="AY153" s="580"/>
      <c r="AZ153" s="580"/>
      <c r="BA153" s="579"/>
      <c r="BB153" s="580"/>
      <c r="BC153" s="580"/>
      <c r="BD153" s="580"/>
      <c r="BE153" s="580"/>
      <c r="BF153" s="579"/>
      <c r="BG153" s="580"/>
      <c r="BH153" s="580"/>
      <c r="BI153" s="580"/>
      <c r="BJ153" s="580"/>
      <c r="BK153" s="579"/>
      <c r="BL153" s="580"/>
      <c r="BM153" s="580"/>
      <c r="BN153" s="580"/>
      <c r="BO153" s="580"/>
      <c r="BP153" s="579"/>
      <c r="BQ153" s="580"/>
      <c r="BR153" s="580"/>
      <c r="BS153" s="580"/>
      <c r="BT153" s="580"/>
      <c r="BU153" s="579"/>
      <c r="BV153" s="580"/>
      <c r="BW153" s="580"/>
      <c r="BX153" s="580"/>
      <c r="BY153" s="580"/>
      <c r="BZ153" s="579"/>
      <c r="CA153" s="580"/>
      <c r="CB153" s="580"/>
      <c r="CC153" s="580"/>
      <c r="CD153" s="580"/>
      <c r="CE153" s="579"/>
      <c r="CF153" s="580"/>
      <c r="CG153" s="580"/>
      <c r="CH153" s="580"/>
      <c r="CI153" s="580"/>
      <c r="CJ153" s="579"/>
      <c r="CK153" s="580"/>
      <c r="CL153" s="580"/>
      <c r="CM153" s="580"/>
      <c r="CN153" s="580"/>
      <c r="CO153" s="579"/>
      <c r="CP153" s="580"/>
      <c r="CQ153" s="580"/>
      <c r="CR153" s="580"/>
      <c r="CS153" s="580"/>
      <c r="CT153" s="579"/>
      <c r="CU153" s="580"/>
      <c r="CV153" s="580"/>
      <c r="CW153" s="580"/>
      <c r="CX153" s="580"/>
      <c r="CY153" s="579"/>
      <c r="CZ153" s="580"/>
      <c r="DA153" s="580"/>
      <c r="DB153" s="580"/>
      <c r="DC153" s="580"/>
      <c r="DD153" s="579"/>
      <c r="DE153" s="580"/>
      <c r="DF153" s="580"/>
      <c r="DG153" s="580"/>
      <c r="DH153" s="580"/>
      <c r="DI153" s="579"/>
      <c r="DJ153" s="580"/>
      <c r="DK153" s="580"/>
      <c r="DL153" s="580"/>
      <c r="DM153" s="580"/>
      <c r="DN153" s="579"/>
      <c r="DO153" s="580"/>
      <c r="DP153" s="580"/>
      <c r="DQ153" s="580"/>
      <c r="DR153" s="580"/>
      <c r="DS153" s="579"/>
    </row>
    <row r="154" hidden="1" outlineLevel="1" spans="1:123">
      <c r="A154" s="132"/>
      <c r="B154" s="611" t="s">
        <v>125</v>
      </c>
      <c r="C154" s="612"/>
      <c r="D154" s="613"/>
      <c r="E154" s="613"/>
      <c r="F154" s="613"/>
      <c r="G154" s="613"/>
      <c r="H154" s="612"/>
      <c r="I154" s="613"/>
      <c r="J154" s="613"/>
      <c r="K154" s="613"/>
      <c r="L154" s="613"/>
      <c r="M154" s="612">
        <f>M146+M148</f>
        <v>12.3821041</v>
      </c>
      <c r="N154" s="613"/>
      <c r="O154" s="613"/>
      <c r="P154" s="613"/>
      <c r="Q154" s="613"/>
      <c r="R154" s="612">
        <f>R146+R148</f>
        <v>7.35447000000001</v>
      </c>
      <c r="S154" s="613"/>
      <c r="T154" s="613"/>
      <c r="U154" s="613"/>
      <c r="V154" s="613"/>
      <c r="W154" s="612">
        <f>W146+W148</f>
        <v>5.10731499999999</v>
      </c>
      <c r="X154" s="613"/>
      <c r="Y154" s="613"/>
      <c r="Z154" s="613"/>
      <c r="AA154" s="613"/>
      <c r="AB154" s="612">
        <f>AB146+AB148</f>
        <v>102.463</v>
      </c>
      <c r="AC154" s="613"/>
      <c r="AD154" s="613"/>
      <c r="AE154" s="613"/>
      <c r="AF154" s="613"/>
      <c r="AG154" s="612">
        <f t="shared" ref="AG154:BZ154" si="411">AG146+AG148</f>
        <v>149.638</v>
      </c>
      <c r="AH154" s="613">
        <f t="shared" si="411"/>
        <v>-69.176</v>
      </c>
      <c r="AI154" s="613">
        <f t="shared" si="411"/>
        <v>-67.795</v>
      </c>
      <c r="AJ154" s="613">
        <f t="shared" si="411"/>
        <v>-47.171</v>
      </c>
      <c r="AK154" s="613">
        <f t="shared" si="411"/>
        <v>86.958</v>
      </c>
      <c r="AL154" s="612">
        <f t="shared" si="411"/>
        <v>86.958</v>
      </c>
      <c r="AM154" s="613">
        <f t="shared" si="411"/>
        <v>3.25599999999998</v>
      </c>
      <c r="AN154" s="613">
        <f t="shared" si="411"/>
        <v>24.474</v>
      </c>
      <c r="AO154" s="613">
        <f t="shared" si="411"/>
        <v>41.199</v>
      </c>
      <c r="AP154" s="613">
        <f t="shared" si="411"/>
        <v>186.884</v>
      </c>
      <c r="AQ154" s="612">
        <f t="shared" si="411"/>
        <v>186.884</v>
      </c>
      <c r="AR154" s="613">
        <f t="shared" si="411"/>
        <v>4.15900000000006</v>
      </c>
      <c r="AS154" s="613">
        <f t="shared" si="411"/>
        <v>26.918</v>
      </c>
      <c r="AT154" s="613">
        <f t="shared" si="411"/>
        <v>22.861</v>
      </c>
      <c r="AU154" s="613">
        <f t="shared" si="411"/>
        <v>171.931</v>
      </c>
      <c r="AV154" s="612">
        <f t="shared" si="411"/>
        <v>171.931</v>
      </c>
      <c r="AW154" s="613">
        <f t="shared" si="411"/>
        <v>45.522</v>
      </c>
      <c r="AX154" s="613">
        <f t="shared" si="411"/>
        <v>71.863</v>
      </c>
      <c r="AY154" s="613">
        <f t="shared" si="411"/>
        <v>77.4199999999999</v>
      </c>
      <c r="AZ154" s="613">
        <f t="shared" si="411"/>
        <v>194.716</v>
      </c>
      <c r="BA154" s="612">
        <f t="shared" si="411"/>
        <v>194.716</v>
      </c>
      <c r="BB154" s="613">
        <f t="shared" si="411"/>
        <v>-6.99599999999997</v>
      </c>
      <c r="BC154" s="613">
        <f t="shared" si="411"/>
        <v>-32.957</v>
      </c>
      <c r="BD154" s="613">
        <f t="shared" si="411"/>
        <v>-82.128</v>
      </c>
      <c r="BE154" s="613">
        <f t="shared" si="411"/>
        <v>155.246</v>
      </c>
      <c r="BF154" s="612">
        <f t="shared" si="411"/>
        <v>155.253</v>
      </c>
      <c r="BG154" s="613">
        <f t="shared" si="411"/>
        <v>13.09</v>
      </c>
      <c r="BH154" s="613">
        <f t="shared" si="411"/>
        <v>28.727</v>
      </c>
      <c r="BI154" s="613">
        <f t="shared" si="411"/>
        <v>-8.83699999999999</v>
      </c>
      <c r="BJ154" s="613">
        <f t="shared" si="411"/>
        <v>235.615583385339</v>
      </c>
      <c r="BK154" s="612">
        <f t="shared" si="411"/>
        <v>235.608</v>
      </c>
      <c r="BL154" s="613">
        <f t="shared" si="411"/>
        <v>-0.478999999999989</v>
      </c>
      <c r="BM154" s="613">
        <f t="shared" si="411"/>
        <v>52.1490000000001</v>
      </c>
      <c r="BN154" s="613">
        <f t="shared" si="411"/>
        <v>24.1970000000003</v>
      </c>
      <c r="BO154" s="613">
        <f t="shared" si="411"/>
        <v>331.489</v>
      </c>
      <c r="BP154" s="612">
        <f t="shared" si="411"/>
        <v>331.472</v>
      </c>
      <c r="BQ154" s="613">
        <f t="shared" si="411"/>
        <v>1.52300000000001</v>
      </c>
      <c r="BR154" s="613">
        <f t="shared" si="411"/>
        <v>126.019</v>
      </c>
      <c r="BS154" s="613">
        <f t="shared" si="411"/>
        <v>160.13</v>
      </c>
      <c r="BT154" s="613">
        <f t="shared" si="411"/>
        <v>516.972</v>
      </c>
      <c r="BU154" s="612">
        <f t="shared" si="411"/>
        <v>516.972</v>
      </c>
      <c r="BV154" s="613">
        <f t="shared" si="411"/>
        <v>-131.237</v>
      </c>
      <c r="BW154" s="613">
        <f t="shared" si="411"/>
        <v>-85.722</v>
      </c>
      <c r="BX154" s="613">
        <f t="shared" si="411"/>
        <v>-119.111</v>
      </c>
      <c r="BY154" s="613">
        <f t="shared" si="411"/>
        <v>386.268</v>
      </c>
      <c r="BZ154" s="612">
        <f t="shared" si="411"/>
        <v>386.268</v>
      </c>
      <c r="CA154" s="613">
        <f t="shared" ref="CA154:CI154" si="412">CA146+CA148</f>
        <v>-173.344</v>
      </c>
      <c r="CB154" s="613">
        <f t="shared" si="412"/>
        <v>-44.6609999999999</v>
      </c>
      <c r="CC154" s="613">
        <f t="shared" si="412"/>
        <v>-85.4260000000001</v>
      </c>
      <c r="CD154" s="613">
        <f t="shared" si="412"/>
        <v>574.11</v>
      </c>
      <c r="CE154" s="612">
        <f t="shared" si="412"/>
        <v>574.11</v>
      </c>
      <c r="CF154" s="613">
        <f t="shared" si="412"/>
        <v>149.884</v>
      </c>
      <c r="CG154" s="613">
        <f t="shared" si="412"/>
        <v>355.278</v>
      </c>
      <c r="CH154" s="613">
        <f t="shared" si="412"/>
        <v>391.133</v>
      </c>
      <c r="CI154" s="613">
        <f t="shared" si="412"/>
        <v>994.606</v>
      </c>
      <c r="CJ154" s="612">
        <f t="shared" ref="CJ154:CP154" si="413">CJ146+CJ148</f>
        <v>994.606</v>
      </c>
      <c r="CK154" s="613">
        <f t="shared" si="413"/>
        <v>-354.608</v>
      </c>
      <c r="CL154" s="613">
        <f t="shared" si="413"/>
        <v>-401.688</v>
      </c>
      <c r="CM154" s="613">
        <f t="shared" si="413"/>
        <v>-511.478</v>
      </c>
      <c r="CN154" s="613">
        <f t="shared" si="413"/>
        <v>327.806</v>
      </c>
      <c r="CO154" s="612">
        <f t="shared" si="413"/>
        <v>327.806</v>
      </c>
      <c r="CP154" s="613">
        <f t="shared" si="413"/>
        <v>-91.4390000000003</v>
      </c>
      <c r="CQ154" s="613">
        <f t="shared" ref="CQ154:CV154" si="414">CQ146+CQ148</f>
        <v>239.76</v>
      </c>
      <c r="CR154" s="613">
        <f t="shared" si="414"/>
        <v>466.713</v>
      </c>
      <c r="CS154" s="613">
        <f t="shared" si="414"/>
        <v>1644.299</v>
      </c>
      <c r="CT154" s="612">
        <f t="shared" si="414"/>
        <v>1644.299</v>
      </c>
      <c r="CU154" s="613">
        <f t="shared" si="414"/>
        <v>-3.15699999999983</v>
      </c>
      <c r="CV154" s="613">
        <f t="shared" si="414"/>
        <v>294.897</v>
      </c>
      <c r="CW154" s="613">
        <f t="shared" ref="CW154:CX154" si="415">CW146+CW148</f>
        <v>417.073</v>
      </c>
      <c r="CX154" s="613">
        <f t="shared" si="415"/>
        <v>1583.481</v>
      </c>
      <c r="CY154" s="612">
        <f t="shared" ref="CY154:DC154" si="416">CY146+CY148</f>
        <v>1583.481</v>
      </c>
      <c r="CZ154" s="613">
        <f t="shared" si="416"/>
        <v>-271.217</v>
      </c>
      <c r="DA154" s="613">
        <f t="shared" si="416"/>
        <v>-120.439</v>
      </c>
      <c r="DB154" s="613">
        <f t="shared" si="416"/>
        <v>-37.9960000000001</v>
      </c>
      <c r="DC154" s="613">
        <f t="shared" si="416"/>
        <v>921.675</v>
      </c>
      <c r="DD154" s="612">
        <f t="shared" ref="DD154:DF154" si="417">DD146+DD148</f>
        <v>921.675000000001</v>
      </c>
      <c r="DE154" s="613">
        <f t="shared" si="417"/>
        <v>87.0599999999999</v>
      </c>
      <c r="DF154" s="613">
        <f t="shared" si="417"/>
        <v>312.222</v>
      </c>
      <c r="DG154" s="613"/>
      <c r="DH154" s="613"/>
      <c r="DI154" s="612"/>
      <c r="DJ154" s="613"/>
      <c r="DK154" s="613"/>
      <c r="DL154" s="613"/>
      <c r="DM154" s="613"/>
      <c r="DN154" s="612"/>
      <c r="DO154" s="613"/>
      <c r="DP154" s="613"/>
      <c r="DQ154" s="613"/>
      <c r="DR154" s="613"/>
      <c r="DS154" s="612"/>
    </row>
    <row r="155" hidden="1" outlineLevel="1" spans="1:123">
      <c r="B155" s="609"/>
      <c r="C155" s="579"/>
      <c r="D155" s="580"/>
      <c r="E155" s="580"/>
      <c r="F155" s="580"/>
      <c r="G155" s="580"/>
      <c r="H155" s="579"/>
      <c r="I155" s="580"/>
      <c r="J155" s="580"/>
      <c r="K155" s="580"/>
      <c r="L155" s="580"/>
      <c r="M155" s="579"/>
      <c r="N155" s="580"/>
      <c r="O155" s="580"/>
      <c r="P155" s="580"/>
      <c r="Q155" s="580"/>
      <c r="R155" s="579"/>
      <c r="S155" s="580"/>
      <c r="T155" s="580"/>
      <c r="U155" s="580"/>
      <c r="V155" s="580"/>
      <c r="W155" s="579"/>
      <c r="X155" s="580"/>
      <c r="Y155" s="580"/>
      <c r="Z155" s="580"/>
      <c r="AA155" s="580"/>
      <c r="AB155" s="579"/>
      <c r="AC155" s="580"/>
      <c r="AD155" s="580"/>
      <c r="AE155" s="580"/>
      <c r="AF155" s="580"/>
      <c r="AG155" s="579"/>
      <c r="AH155" s="580"/>
      <c r="AI155" s="580"/>
      <c r="AJ155" s="580"/>
      <c r="AK155" s="580"/>
      <c r="AL155" s="579"/>
      <c r="AM155" s="580"/>
      <c r="AN155" s="580"/>
      <c r="AO155" s="580"/>
      <c r="AP155" s="580"/>
      <c r="AQ155" s="579"/>
      <c r="AR155" s="580"/>
      <c r="AS155" s="580"/>
      <c r="AT155" s="580"/>
      <c r="AU155" s="580"/>
      <c r="AV155" s="579"/>
      <c r="AW155" s="580"/>
      <c r="AX155" s="580"/>
      <c r="AY155" s="580"/>
      <c r="AZ155" s="580"/>
      <c r="BA155" s="579"/>
      <c r="BB155" s="580"/>
      <c r="BC155" s="580"/>
      <c r="BD155" s="580"/>
      <c r="BE155" s="580"/>
      <c r="BF155" s="579"/>
      <c r="BG155" s="580"/>
      <c r="BH155" s="580"/>
      <c r="BI155" s="580"/>
      <c r="BJ155" s="580"/>
      <c r="BK155" s="579"/>
      <c r="BL155" s="580"/>
      <c r="BM155" s="580"/>
      <c r="BN155" s="580"/>
      <c r="BO155" s="580"/>
      <c r="BP155" s="579"/>
      <c r="BQ155" s="580"/>
      <c r="BR155" s="580"/>
      <c r="BS155" s="580"/>
      <c r="BT155" s="580"/>
      <c r="BU155" s="579"/>
      <c r="BV155" s="580"/>
      <c r="BW155" s="580"/>
      <c r="BX155" s="580"/>
      <c r="BY155" s="580"/>
      <c r="BZ155" s="579"/>
      <c r="CA155" s="580"/>
      <c r="CB155" s="580"/>
      <c r="CC155" s="580"/>
      <c r="CD155" s="580"/>
      <c r="CE155" s="579"/>
      <c r="CF155" s="580"/>
      <c r="CG155" s="580"/>
      <c r="CH155" s="580"/>
      <c r="CI155" s="580"/>
      <c r="CJ155" s="579"/>
      <c r="CK155" s="580"/>
      <c r="CL155" s="580"/>
      <c r="CM155" s="580"/>
      <c r="CN155" s="580"/>
      <c r="CO155" s="579"/>
      <c r="CP155" s="580"/>
      <c r="CQ155" s="580"/>
      <c r="CR155" s="580"/>
      <c r="CS155" s="580"/>
      <c r="CT155" s="579"/>
      <c r="CU155" s="580"/>
      <c r="CV155" s="580"/>
      <c r="CW155" s="580"/>
      <c r="CX155" s="580"/>
      <c r="CY155" s="579"/>
      <c r="CZ155" s="580"/>
      <c r="DA155" s="580"/>
      <c r="DB155" s="580"/>
      <c r="DC155" s="580"/>
      <c r="DD155" s="579"/>
      <c r="DE155" s="580"/>
      <c r="DF155" s="580"/>
      <c r="DG155" s="580"/>
      <c r="DH155" s="580"/>
      <c r="DI155" s="579"/>
      <c r="DJ155" s="580"/>
      <c r="DK155" s="580"/>
      <c r="DL155" s="580"/>
      <c r="DM155" s="580"/>
      <c r="DN155" s="579"/>
      <c r="DO155" s="580"/>
      <c r="DP155" s="580"/>
      <c r="DQ155" s="580"/>
      <c r="DR155" s="580"/>
      <c r="DS155" s="579"/>
    </row>
    <row r="156" hidden="1" outlineLevel="1" spans="1:123">
      <c r="B156" s="609" t="s">
        <v>115</v>
      </c>
      <c r="C156" s="579"/>
      <c r="D156" s="580"/>
      <c r="E156" s="580"/>
      <c r="F156" s="580"/>
      <c r="G156" s="580"/>
      <c r="H156" s="579"/>
      <c r="I156" s="580"/>
      <c r="J156" s="580"/>
      <c r="K156" s="580"/>
      <c r="L156" s="580"/>
      <c r="M156" s="579">
        <v>0</v>
      </c>
      <c r="N156" s="580"/>
      <c r="O156" s="580"/>
      <c r="P156" s="580"/>
      <c r="Q156" s="580"/>
      <c r="R156" s="579">
        <v>0</v>
      </c>
      <c r="S156" s="580"/>
      <c r="T156" s="580"/>
      <c r="U156" s="580"/>
      <c r="V156" s="580"/>
      <c r="W156" s="579">
        <v>0</v>
      </c>
      <c r="X156" s="580"/>
      <c r="Y156" s="580"/>
      <c r="Z156" s="580"/>
      <c r="AA156" s="580"/>
      <c r="AB156" s="579">
        <v>0</v>
      </c>
      <c r="AC156" s="580"/>
      <c r="AD156" s="580"/>
      <c r="AE156" s="580"/>
      <c r="AF156" s="580"/>
      <c r="AG156" s="579">
        <v>0</v>
      </c>
      <c r="AH156" s="580">
        <v>0</v>
      </c>
      <c r="AI156" s="580">
        <v>0</v>
      </c>
      <c r="AJ156" s="580">
        <v>0</v>
      </c>
      <c r="AK156" s="580">
        <f>AL156</f>
        <v>0</v>
      </c>
      <c r="AL156" s="579">
        <v>0</v>
      </c>
      <c r="AM156" s="580">
        <v>0</v>
      </c>
      <c r="AN156" s="580">
        <v>0</v>
      </c>
      <c r="AO156" s="580">
        <v>0</v>
      </c>
      <c r="AP156" s="580">
        <f>AQ156</f>
        <v>0</v>
      </c>
      <c r="AQ156" s="579">
        <v>0</v>
      </c>
      <c r="AR156" s="580">
        <v>0</v>
      </c>
      <c r="AS156" s="580">
        <v>0</v>
      </c>
      <c r="AT156" s="580">
        <v>0</v>
      </c>
      <c r="AU156" s="580">
        <f>AV156</f>
        <v>0</v>
      </c>
      <c r="AV156" s="579">
        <v>0</v>
      </c>
      <c r="AW156" s="580">
        <v>0</v>
      </c>
      <c r="AX156" s="580">
        <v>0</v>
      </c>
      <c r="AY156" s="580">
        <v>0</v>
      </c>
      <c r="AZ156" s="580">
        <v>0</v>
      </c>
      <c r="BA156" s="579">
        <v>0</v>
      </c>
      <c r="BB156" s="580">
        <v>0</v>
      </c>
      <c r="BC156" s="580">
        <v>0</v>
      </c>
      <c r="BD156" s="580">
        <v>0</v>
      </c>
      <c r="BE156" s="580">
        <v>0</v>
      </c>
      <c r="BF156" s="579">
        <v>0</v>
      </c>
      <c r="BG156" s="580">
        <v>0</v>
      </c>
      <c r="BH156" s="580">
        <v>0</v>
      </c>
      <c r="BI156" s="580">
        <v>0</v>
      </c>
      <c r="BJ156" s="580">
        <v>0</v>
      </c>
      <c r="BK156" s="579">
        <v>0</v>
      </c>
      <c r="BL156" s="580">
        <v>0</v>
      </c>
      <c r="BM156" s="580">
        <v>0</v>
      </c>
      <c r="BN156" s="580">
        <v>0</v>
      </c>
      <c r="BO156" s="580">
        <v>0</v>
      </c>
      <c r="BP156" s="579">
        <f>BO156</f>
        <v>0</v>
      </c>
      <c r="BQ156" s="580">
        <v>0</v>
      </c>
      <c r="BR156" s="580">
        <v>100</v>
      </c>
      <c r="BS156" s="580">
        <v>0</v>
      </c>
      <c r="BT156" s="580">
        <v>0</v>
      </c>
      <c r="BU156" s="579">
        <f>BT156</f>
        <v>0</v>
      </c>
      <c r="BV156" s="580">
        <v>0</v>
      </c>
      <c r="BW156" s="580">
        <v>0</v>
      </c>
      <c r="BX156" s="580">
        <v>0</v>
      </c>
      <c r="BY156" s="580">
        <v>0</v>
      </c>
      <c r="BZ156" s="579">
        <f>BY156</f>
        <v>0</v>
      </c>
      <c r="CA156" s="580">
        <v>0</v>
      </c>
      <c r="CB156" s="580">
        <v>0</v>
      </c>
      <c r="CC156" s="580">
        <v>0</v>
      </c>
      <c r="CD156" s="580">
        <v>0</v>
      </c>
      <c r="CE156" s="579">
        <f>CD156</f>
        <v>0</v>
      </c>
      <c r="CF156" s="580">
        <v>0</v>
      </c>
      <c r="CG156" s="580">
        <v>0</v>
      </c>
      <c r="CH156" s="580">
        <v>0</v>
      </c>
      <c r="CI156" s="580">
        <v>0</v>
      </c>
      <c r="CJ156" s="579">
        <f>CI156</f>
        <v>0</v>
      </c>
      <c r="CK156" s="580">
        <v>0</v>
      </c>
      <c r="CL156" s="580">
        <v>0</v>
      </c>
      <c r="CM156" s="580">
        <v>0</v>
      </c>
      <c r="CN156" s="580">
        <v>0</v>
      </c>
      <c r="CO156" s="579">
        <f>CN156</f>
        <v>0</v>
      </c>
      <c r="CP156" s="580">
        <v>0</v>
      </c>
      <c r="CQ156" s="580">
        <v>0</v>
      </c>
      <c r="CR156" s="580">
        <v>0</v>
      </c>
      <c r="CS156" s="580">
        <v>0</v>
      </c>
      <c r="CT156" s="579">
        <f>CS156</f>
        <v>0</v>
      </c>
      <c r="CU156" s="580">
        <v>0</v>
      </c>
      <c r="CV156" s="580">
        <v>0</v>
      </c>
      <c r="CW156" s="580">
        <v>0</v>
      </c>
      <c r="CX156" s="580">
        <v>0</v>
      </c>
      <c r="CY156" s="579">
        <f>CX156</f>
        <v>0</v>
      </c>
      <c r="CZ156" s="580">
        <v>0</v>
      </c>
      <c r="DA156" s="580">
        <v>0</v>
      </c>
      <c r="DB156" s="580">
        <v>0</v>
      </c>
      <c r="DC156" s="580">
        <v>0</v>
      </c>
      <c r="DD156" s="579">
        <f>DC156</f>
        <v>0</v>
      </c>
      <c r="DE156" s="580">
        <v>0</v>
      </c>
      <c r="DF156" s="580">
        <v>0</v>
      </c>
      <c r="DG156" s="580"/>
      <c r="DH156" s="580"/>
      <c r="DI156" s="579"/>
      <c r="DJ156" s="580"/>
      <c r="DK156" s="580"/>
      <c r="DL156" s="580"/>
      <c r="DM156" s="580"/>
      <c r="DN156" s="579"/>
      <c r="DO156" s="580"/>
      <c r="DP156" s="580"/>
      <c r="DQ156" s="580"/>
      <c r="DR156" s="580"/>
      <c r="DS156" s="579"/>
    </row>
    <row r="157" hidden="1" outlineLevel="1" spans="1:123">
      <c r="B157" s="609" t="s">
        <v>116</v>
      </c>
      <c r="C157" s="579"/>
      <c r="D157" s="580"/>
      <c r="E157" s="580"/>
      <c r="F157" s="580"/>
      <c r="G157" s="580"/>
      <c r="H157" s="579"/>
      <c r="I157" s="580"/>
      <c r="J157" s="580"/>
      <c r="K157" s="580"/>
      <c r="L157" s="580"/>
      <c r="M157" s="579">
        <v>0</v>
      </c>
      <c r="N157" s="580"/>
      <c r="O157" s="580"/>
      <c r="P157" s="580"/>
      <c r="Q157" s="580"/>
      <c r="R157" s="579">
        <v>0</v>
      </c>
      <c r="S157" s="580"/>
      <c r="T157" s="580"/>
      <c r="U157" s="580"/>
      <c r="V157" s="580"/>
      <c r="W157" s="579">
        <v>0</v>
      </c>
      <c r="X157" s="580"/>
      <c r="Y157" s="580"/>
      <c r="Z157" s="580"/>
      <c r="AA157" s="580"/>
      <c r="AB157" s="579">
        <v>0</v>
      </c>
      <c r="AC157" s="580"/>
      <c r="AD157" s="580"/>
      <c r="AE157" s="580"/>
      <c r="AF157" s="580"/>
      <c r="AG157" s="579">
        <v>0</v>
      </c>
      <c r="AH157" s="580">
        <v>0</v>
      </c>
      <c r="AI157" s="580">
        <v>0</v>
      </c>
      <c r="AJ157" s="580">
        <v>0</v>
      </c>
      <c r="AK157" s="580">
        <f>AL157</f>
        <v>0</v>
      </c>
      <c r="AL157" s="579">
        <v>0</v>
      </c>
      <c r="AM157" s="580">
        <v>0</v>
      </c>
      <c r="AN157" s="580">
        <v>0</v>
      </c>
      <c r="AO157" s="580">
        <v>0</v>
      </c>
      <c r="AP157" s="580">
        <f>AQ157</f>
        <v>0</v>
      </c>
      <c r="AQ157" s="579">
        <v>0</v>
      </c>
      <c r="AR157" s="580">
        <v>0</v>
      </c>
      <c r="AS157" s="580">
        <v>0</v>
      </c>
      <c r="AT157" s="580">
        <v>0</v>
      </c>
      <c r="AU157" s="580">
        <f>AV157</f>
        <v>0</v>
      </c>
      <c r="AV157" s="579">
        <v>0</v>
      </c>
      <c r="AW157" s="580">
        <v>0</v>
      </c>
      <c r="AX157" s="580">
        <v>-55.804</v>
      </c>
      <c r="AY157" s="580">
        <v>-130.266</v>
      </c>
      <c r="AZ157" s="580">
        <f>BA157</f>
        <v>-147.431</v>
      </c>
      <c r="BA157" s="579">
        <v>-147.431</v>
      </c>
      <c r="BB157" s="580">
        <v>-18.815</v>
      </c>
      <c r="BC157" s="580">
        <v>-81.998</v>
      </c>
      <c r="BD157" s="580">
        <v>-169.974</v>
      </c>
      <c r="BE157" s="580">
        <f>BF157</f>
        <v>-274.193</v>
      </c>
      <c r="BF157" s="579">
        <v>-274.193</v>
      </c>
      <c r="BG157" s="580">
        <v>-15.765</v>
      </c>
      <c r="BH157" s="580">
        <v>-28.556</v>
      </c>
      <c r="BI157" s="580">
        <v>-28.556</v>
      </c>
      <c r="BJ157" s="580">
        <f>BK157</f>
        <v>-29.327</v>
      </c>
      <c r="BK157" s="579">
        <v>-29.327</v>
      </c>
      <c r="BL157" s="580">
        <v>-12.804</v>
      </c>
      <c r="BM157" s="580">
        <v>-90.801</v>
      </c>
      <c r="BN157" s="580">
        <v>-99.269</v>
      </c>
      <c r="BO157" s="580">
        <v>-100.261</v>
      </c>
      <c r="BP157" s="579">
        <f>BO157</f>
        <v>-100.261</v>
      </c>
      <c r="BQ157" s="580">
        <v>-0.008</v>
      </c>
      <c r="BR157" s="580">
        <v>-406.246</v>
      </c>
      <c r="BS157" s="580">
        <v>-414.335</v>
      </c>
      <c r="BT157" s="580">
        <v>-598.34</v>
      </c>
      <c r="BU157" s="579">
        <f>BT157</f>
        <v>-598.34</v>
      </c>
      <c r="BV157" s="580">
        <v>-163.53</v>
      </c>
      <c r="BW157" s="580">
        <v>-165.099</v>
      </c>
      <c r="BX157" s="580">
        <v>-173.092</v>
      </c>
      <c r="BY157" s="580">
        <v>-173.399</v>
      </c>
      <c r="BZ157" s="579">
        <f>BY157</f>
        <v>-173.399</v>
      </c>
      <c r="CA157" s="580">
        <v>-63.663</v>
      </c>
      <c r="CB157" s="580">
        <v>-63.663</v>
      </c>
      <c r="CC157" s="580">
        <v>-63.663</v>
      </c>
      <c r="CD157" s="580">
        <v>-63.663</v>
      </c>
      <c r="CE157" s="579">
        <f>CD157</f>
        <v>-63.663</v>
      </c>
      <c r="CF157" s="580">
        <v>-83.831</v>
      </c>
      <c r="CG157" s="580">
        <v>-254.913</v>
      </c>
      <c r="CH157" s="580">
        <f>-491.336</f>
        <v>-491.336</v>
      </c>
      <c r="CI157" s="580">
        <v>-812.602</v>
      </c>
      <c r="CJ157" s="579">
        <f>CI157</f>
        <v>-812.602</v>
      </c>
      <c r="CK157" s="580">
        <v>-232.644</v>
      </c>
      <c r="CL157" s="580">
        <v>-357.984</v>
      </c>
      <c r="CM157" s="580">
        <v>-374.976</v>
      </c>
      <c r="CN157" s="580">
        <f>-444.001</f>
        <v>-444.001</v>
      </c>
      <c r="CO157" s="579">
        <f>CN157</f>
        <v>-444.001</v>
      </c>
      <c r="CP157" s="580">
        <v>-98.479</v>
      </c>
      <c r="CQ157" s="580">
        <v>-292.017</v>
      </c>
      <c r="CR157" s="580">
        <v>-504.643</v>
      </c>
      <c r="CS157" s="580">
        <f>-558.652</f>
        <v>-558.652</v>
      </c>
      <c r="CT157" s="579">
        <f>CS157</f>
        <v>-558.652</v>
      </c>
      <c r="CU157" s="580">
        <v>-299.479</v>
      </c>
      <c r="CV157" s="580">
        <v>-888.935</v>
      </c>
      <c r="CW157" s="580">
        <v>-1301.528</v>
      </c>
      <c r="CX157" s="580">
        <v>-1636.879</v>
      </c>
      <c r="CY157" s="579">
        <f>CX157</f>
        <v>-1636.879</v>
      </c>
      <c r="CZ157" s="580">
        <v>-434.439</v>
      </c>
      <c r="DA157" s="580">
        <v>-715.672</v>
      </c>
      <c r="DB157" s="580">
        <v>-906.58</v>
      </c>
      <c r="DC157" s="580">
        <v>-1178.349</v>
      </c>
      <c r="DD157" s="579">
        <f>DC157</f>
        <v>-1178.349</v>
      </c>
      <c r="DE157" s="580">
        <v>-361.756</v>
      </c>
      <c r="DF157" s="580">
        <v>-695.105</v>
      </c>
      <c r="DG157" s="580"/>
      <c r="DH157" s="580"/>
      <c r="DI157" s="579"/>
      <c r="DJ157" s="580"/>
      <c r="DK157" s="580"/>
      <c r="DL157" s="580"/>
      <c r="DM157" s="580"/>
      <c r="DN157" s="579"/>
      <c r="DO157" s="580"/>
      <c r="DP157" s="580"/>
      <c r="DQ157" s="580"/>
      <c r="DR157" s="580"/>
      <c r="DS157" s="579"/>
    </row>
    <row r="158" hidden="1" outlineLevel="1" spans="1:123">
      <c r="B158" s="609" t="s">
        <v>117</v>
      </c>
      <c r="C158" s="579"/>
      <c r="D158" s="580"/>
      <c r="E158" s="580"/>
      <c r="F158" s="580"/>
      <c r="G158" s="580"/>
      <c r="H158" s="579"/>
      <c r="I158" s="580"/>
      <c r="J158" s="580"/>
      <c r="K158" s="580"/>
      <c r="L158" s="580"/>
      <c r="M158" s="579">
        <v>0</v>
      </c>
      <c r="N158" s="580"/>
      <c r="O158" s="580"/>
      <c r="P158" s="580"/>
      <c r="Q158" s="580"/>
      <c r="R158" s="579">
        <v>0.054649</v>
      </c>
      <c r="S158" s="580"/>
      <c r="T158" s="580"/>
      <c r="U158" s="580"/>
      <c r="V158" s="580"/>
      <c r="W158" s="579">
        <v>1.436471</v>
      </c>
      <c r="X158" s="580"/>
      <c r="Y158" s="580"/>
      <c r="Z158" s="580"/>
      <c r="AA158" s="580"/>
      <c r="AB158" s="579">
        <v>1.209</v>
      </c>
      <c r="AC158" s="580"/>
      <c r="AD158" s="580"/>
      <c r="AE158" s="580"/>
      <c r="AF158" s="580"/>
      <c r="AG158" s="579">
        <v>5.836</v>
      </c>
      <c r="AH158" s="580">
        <v>8.158</v>
      </c>
      <c r="AI158" s="580">
        <v>12.095</v>
      </c>
      <c r="AJ158" s="580">
        <v>14.474</v>
      </c>
      <c r="AK158" s="580">
        <f>AL158</f>
        <v>9.614</v>
      </c>
      <c r="AL158" s="579">
        <v>9.614</v>
      </c>
      <c r="AM158" s="580">
        <v>8.811</v>
      </c>
      <c r="AN158" s="580">
        <v>10.47</v>
      </c>
      <c r="AO158" s="580">
        <v>14.15</v>
      </c>
      <c r="AP158" s="580">
        <f>AQ158</f>
        <v>-26.013</v>
      </c>
      <c r="AQ158" s="579">
        <v>-26.013</v>
      </c>
      <c r="AR158" s="580">
        <v>0.163</v>
      </c>
      <c r="AS158" s="580">
        <v>6.305</v>
      </c>
      <c r="AT158" s="580">
        <v>6.453</v>
      </c>
      <c r="AU158" s="580">
        <f>AV158</f>
        <v>0</v>
      </c>
      <c r="AV158" s="579">
        <v>0</v>
      </c>
      <c r="AW158" s="580">
        <v>1.575</v>
      </c>
      <c r="AX158" s="580">
        <v>-1.363</v>
      </c>
      <c r="AY158" s="580">
        <v>-1.515</v>
      </c>
      <c r="AZ158" s="580">
        <f>BA158</f>
        <v>2.913</v>
      </c>
      <c r="BA158" s="579">
        <v>2.913</v>
      </c>
      <c r="BB158" s="580">
        <v>2.802</v>
      </c>
      <c r="BC158" s="580">
        <v>3.306</v>
      </c>
      <c r="BD158" s="580">
        <v>2.667</v>
      </c>
      <c r="BE158" s="580">
        <f>BF158</f>
        <v>4.704</v>
      </c>
      <c r="BF158" s="579">
        <v>4.704</v>
      </c>
      <c r="BG158" s="580">
        <v>3.579</v>
      </c>
      <c r="BH158" s="580">
        <v>4.679</v>
      </c>
      <c r="BI158" s="580">
        <v>4.596</v>
      </c>
      <c r="BJ158" s="580">
        <f>BK158</f>
        <v>6.907</v>
      </c>
      <c r="BK158" s="579">
        <v>6.907</v>
      </c>
      <c r="BL158" s="580">
        <v>0.278</v>
      </c>
      <c r="BM158" s="580">
        <v>-1.109</v>
      </c>
      <c r="BN158" s="580">
        <v>1.648</v>
      </c>
      <c r="BO158" s="580">
        <v>5.628</v>
      </c>
      <c r="BP158" s="579">
        <f>BO158</f>
        <v>5.628</v>
      </c>
      <c r="BQ158" s="580">
        <v>8.408</v>
      </c>
      <c r="BR158" s="580">
        <v>13.752</v>
      </c>
      <c r="BS158" s="580">
        <v>17.257</v>
      </c>
      <c r="BT158" s="580">
        <v>17.65</v>
      </c>
      <c r="BU158" s="579">
        <f>BT158</f>
        <v>17.65</v>
      </c>
      <c r="BV158" s="580">
        <v>12.177</v>
      </c>
      <c r="BW158" s="580">
        <v>13.514</v>
      </c>
      <c r="BX158" s="580">
        <v>15.03</v>
      </c>
      <c r="BY158" s="580">
        <v>18.17</v>
      </c>
      <c r="BZ158" s="579">
        <f>BY158</f>
        <v>18.17</v>
      </c>
      <c r="CA158" s="580">
        <v>3.135</v>
      </c>
      <c r="CB158" s="580">
        <v>12.463</v>
      </c>
      <c r="CC158" s="580">
        <v>14.142</v>
      </c>
      <c r="CD158" s="580">
        <v>15.263</v>
      </c>
      <c r="CE158" s="579">
        <f>CD158</f>
        <v>15.263</v>
      </c>
      <c r="CF158" s="580">
        <v>4.495</v>
      </c>
      <c r="CG158" s="580">
        <v>9.713</v>
      </c>
      <c r="CH158" s="580">
        <v>17.62</v>
      </c>
      <c r="CI158" s="580">
        <f>18.194</f>
        <v>18.194</v>
      </c>
      <c r="CJ158" s="579">
        <f>CI158</f>
        <v>18.194</v>
      </c>
      <c r="CK158" s="580">
        <v>5.143</v>
      </c>
      <c r="CL158" s="580">
        <v>6.186</v>
      </c>
      <c r="CM158" s="580">
        <v>10.243</v>
      </c>
      <c r="CN158" s="580">
        <v>11.704</v>
      </c>
      <c r="CO158" s="579">
        <f>CN158</f>
        <v>11.704</v>
      </c>
      <c r="CP158" s="580">
        <v>11.873</v>
      </c>
      <c r="CQ158" s="580">
        <v>16.101</v>
      </c>
      <c r="CR158" s="580">
        <v>24.937</v>
      </c>
      <c r="CS158" s="580">
        <v>42.43</v>
      </c>
      <c r="CT158" s="579">
        <f>CS158</f>
        <v>42.43</v>
      </c>
      <c r="CU158" s="580">
        <v>3.393</v>
      </c>
      <c r="CV158" s="580">
        <v>5.763</v>
      </c>
      <c r="CW158" s="580">
        <v>7.277</v>
      </c>
      <c r="CX158" s="580">
        <v>19.813</v>
      </c>
      <c r="CY158" s="579">
        <f>CX158</f>
        <v>19.813</v>
      </c>
      <c r="CZ158" s="580">
        <v>0.221</v>
      </c>
      <c r="DA158" s="580">
        <v>5.478</v>
      </c>
      <c r="DB158" s="580">
        <v>5.549</v>
      </c>
      <c r="DC158" s="580">
        <v>8.377</v>
      </c>
      <c r="DD158" s="579">
        <f>DC158</f>
        <v>8.377</v>
      </c>
      <c r="DE158" s="580">
        <v>0</v>
      </c>
      <c r="DF158" s="580">
        <v>0</v>
      </c>
      <c r="DG158" s="580"/>
      <c r="DH158" s="580"/>
      <c r="DI158" s="579"/>
      <c r="DJ158" s="580"/>
      <c r="DK158" s="580"/>
      <c r="DL158" s="580"/>
      <c r="DM158" s="580"/>
      <c r="DN158" s="579"/>
      <c r="DO158" s="580"/>
      <c r="DP158" s="580"/>
      <c r="DQ158" s="580"/>
      <c r="DR158" s="580"/>
      <c r="DS158" s="579"/>
    </row>
    <row r="159" hidden="1" outlineLevel="1" spans="1:123">
      <c r="B159" s="609" t="s">
        <v>118</v>
      </c>
      <c r="C159" s="579"/>
      <c r="D159" s="580"/>
      <c r="E159" s="580"/>
      <c r="F159" s="580"/>
      <c r="G159" s="580"/>
      <c r="H159" s="579"/>
      <c r="I159" s="580"/>
      <c r="J159" s="580"/>
      <c r="K159" s="580"/>
      <c r="L159" s="580"/>
      <c r="M159" s="579">
        <v>0</v>
      </c>
      <c r="N159" s="580"/>
      <c r="O159" s="580"/>
      <c r="P159" s="580"/>
      <c r="Q159" s="580"/>
      <c r="R159" s="579">
        <v>0</v>
      </c>
      <c r="S159" s="580"/>
      <c r="T159" s="580"/>
      <c r="U159" s="580"/>
      <c r="V159" s="580"/>
      <c r="W159" s="579">
        <v>0</v>
      </c>
      <c r="X159" s="580"/>
      <c r="Y159" s="580"/>
      <c r="Z159" s="580"/>
      <c r="AA159" s="580"/>
      <c r="AB159" s="579">
        <v>0</v>
      </c>
      <c r="AC159" s="580"/>
      <c r="AD159" s="580"/>
      <c r="AE159" s="580"/>
      <c r="AF159" s="580"/>
      <c r="AG159" s="579">
        <v>0</v>
      </c>
      <c r="AH159" s="580">
        <v>0</v>
      </c>
      <c r="AI159" s="580">
        <v>0</v>
      </c>
      <c r="AJ159" s="580">
        <v>0</v>
      </c>
      <c r="AK159" s="580">
        <f>AL159</f>
        <v>0</v>
      </c>
      <c r="AL159" s="579">
        <v>0</v>
      </c>
      <c r="AM159" s="580">
        <v>0</v>
      </c>
      <c r="AN159" s="580">
        <v>0</v>
      </c>
      <c r="AO159" s="580">
        <v>0</v>
      </c>
      <c r="AP159" s="580">
        <f>AQ159</f>
        <v>0</v>
      </c>
      <c r="AQ159" s="579">
        <v>0</v>
      </c>
      <c r="AR159" s="580">
        <v>0</v>
      </c>
      <c r="AS159" s="580">
        <v>0</v>
      </c>
      <c r="AT159" s="580">
        <v>0</v>
      </c>
      <c r="AU159" s="580">
        <f>AV159</f>
        <v>0</v>
      </c>
      <c r="AV159" s="579">
        <v>0</v>
      </c>
      <c r="AW159" s="580">
        <v>0</v>
      </c>
      <c r="AX159" s="580">
        <v>0</v>
      </c>
      <c r="AY159" s="580">
        <v>0</v>
      </c>
      <c r="AZ159" s="580">
        <f>BA159</f>
        <v>0</v>
      </c>
      <c r="BA159" s="579">
        <v>0</v>
      </c>
      <c r="BB159" s="580">
        <v>0</v>
      </c>
      <c r="BC159" s="580">
        <v>0</v>
      </c>
      <c r="BD159" s="580">
        <v>0</v>
      </c>
      <c r="BE159" s="580">
        <f>BF159</f>
        <v>0</v>
      </c>
      <c r="BF159" s="579">
        <v>0</v>
      </c>
      <c r="BG159" s="580">
        <v>0</v>
      </c>
      <c r="BH159" s="580">
        <v>0</v>
      </c>
      <c r="BI159" s="580">
        <v>0</v>
      </c>
      <c r="BJ159" s="580">
        <f>BK159</f>
        <v>0</v>
      </c>
      <c r="BK159" s="579">
        <v>0</v>
      </c>
      <c r="BL159" s="580">
        <v>0</v>
      </c>
      <c r="BM159" s="580">
        <v>0</v>
      </c>
      <c r="BN159" s="580">
        <v>0</v>
      </c>
      <c r="BO159" s="580">
        <v>0</v>
      </c>
      <c r="BP159" s="579">
        <f>BO159</f>
        <v>0</v>
      </c>
      <c r="BQ159" s="580">
        <v>0</v>
      </c>
      <c r="BR159" s="580">
        <v>0</v>
      </c>
      <c r="BS159" s="580">
        <v>0</v>
      </c>
      <c r="BT159" s="580">
        <v>0</v>
      </c>
      <c r="BU159" s="579">
        <f>BT159</f>
        <v>0</v>
      </c>
      <c r="BV159" s="580">
        <v>0</v>
      </c>
      <c r="BW159" s="580">
        <v>0</v>
      </c>
      <c r="BX159" s="580">
        <v>0</v>
      </c>
      <c r="BY159" s="580">
        <v>0</v>
      </c>
      <c r="BZ159" s="579">
        <f>BY159</f>
        <v>0</v>
      </c>
      <c r="CA159" s="580">
        <v>0</v>
      </c>
      <c r="CB159" s="580">
        <v>0</v>
      </c>
      <c r="CC159" s="580">
        <v>0</v>
      </c>
      <c r="CD159" s="580">
        <v>0</v>
      </c>
      <c r="CE159" s="579">
        <f>CD159</f>
        <v>0</v>
      </c>
      <c r="CF159" s="580">
        <v>0</v>
      </c>
      <c r="CG159" s="580">
        <v>0</v>
      </c>
      <c r="CH159" s="580">
        <v>0</v>
      </c>
      <c r="CI159" s="580">
        <v>0</v>
      </c>
      <c r="CJ159" s="579">
        <f>CI159</f>
        <v>0</v>
      </c>
      <c r="CK159" s="580">
        <v>0</v>
      </c>
      <c r="CL159" s="580">
        <v>0</v>
      </c>
      <c r="CM159" s="580">
        <v>0</v>
      </c>
      <c r="CN159" s="580">
        <v>0</v>
      </c>
      <c r="CO159" s="579">
        <f>CN159</f>
        <v>0</v>
      </c>
      <c r="CP159" s="580">
        <v>0</v>
      </c>
      <c r="CQ159" s="580">
        <v>0</v>
      </c>
      <c r="CR159" s="580">
        <v>0</v>
      </c>
      <c r="CS159" s="580">
        <v>0</v>
      </c>
      <c r="CT159" s="579">
        <f>CS159</f>
        <v>0</v>
      </c>
      <c r="CU159" s="580">
        <v>0</v>
      </c>
      <c r="CV159" s="580">
        <v>0</v>
      </c>
      <c r="CW159" s="580">
        <v>0</v>
      </c>
      <c r="CX159" s="580">
        <v>0</v>
      </c>
      <c r="CY159" s="579">
        <f>CX159</f>
        <v>0</v>
      </c>
      <c r="CZ159" s="580">
        <v>0</v>
      </c>
      <c r="DA159" s="580">
        <v>0</v>
      </c>
      <c r="DB159" s="580">
        <v>0</v>
      </c>
      <c r="DC159" s="580">
        <v>0</v>
      </c>
      <c r="DD159" s="579">
        <f>DC159</f>
        <v>0</v>
      </c>
      <c r="DE159" s="580">
        <v>0</v>
      </c>
      <c r="DF159" s="580">
        <v>0</v>
      </c>
      <c r="DG159" s="580"/>
      <c r="DH159" s="580"/>
      <c r="DI159" s="579"/>
      <c r="DJ159" s="580"/>
      <c r="DK159" s="580"/>
      <c r="DL159" s="580"/>
      <c r="DM159" s="580"/>
      <c r="DN159" s="579"/>
      <c r="DO159" s="580"/>
      <c r="DP159" s="580"/>
      <c r="DQ159" s="580"/>
      <c r="DR159" s="580"/>
      <c r="DS159" s="579"/>
    </row>
    <row r="160" hidden="1" outlineLevel="1" spans="1:123">
      <c r="B160" s="609" t="s">
        <v>55</v>
      </c>
      <c r="C160" s="579"/>
      <c r="D160" s="580"/>
      <c r="E160" s="580"/>
      <c r="F160" s="580"/>
      <c r="G160" s="580"/>
      <c r="H160" s="579"/>
      <c r="I160" s="580"/>
      <c r="J160" s="580"/>
      <c r="K160" s="580"/>
      <c r="L160" s="580"/>
      <c r="M160" s="579">
        <f>0.22244+0.446419</f>
        <v>0.668859</v>
      </c>
      <c r="N160" s="580"/>
      <c r="O160" s="580"/>
      <c r="P160" s="580"/>
      <c r="Q160" s="580"/>
      <c r="R160" s="579">
        <f>-6.992309+38.349817</f>
        <v>31.357508</v>
      </c>
      <c r="S160" s="580"/>
      <c r="T160" s="580"/>
      <c r="U160" s="580"/>
      <c r="V160" s="580"/>
      <c r="W160" s="579">
        <v>12.024413</v>
      </c>
      <c r="X160" s="580"/>
      <c r="Y160" s="580"/>
      <c r="Z160" s="580"/>
      <c r="AA160" s="580"/>
      <c r="AB160" s="579">
        <v>-3.858</v>
      </c>
      <c r="AC160" s="580"/>
      <c r="AD160" s="580"/>
      <c r="AE160" s="580"/>
      <c r="AF160" s="580"/>
      <c r="AG160" s="579">
        <v>7.863</v>
      </c>
      <c r="AH160" s="580">
        <v>0</v>
      </c>
      <c r="AI160" s="580">
        <v>0</v>
      </c>
      <c r="AJ160" s="580">
        <v>0</v>
      </c>
      <c r="AK160" s="580">
        <f>AL160</f>
        <v>5.75</v>
      </c>
      <c r="AL160" s="579">
        <v>5.75</v>
      </c>
      <c r="AM160" s="580">
        <v>0</v>
      </c>
      <c r="AN160" s="580">
        <v>0</v>
      </c>
      <c r="AO160" s="580">
        <v>-26.013</v>
      </c>
      <c r="AP160" s="580">
        <f>AQ160</f>
        <v>20.522</v>
      </c>
      <c r="AQ160" s="579">
        <v>20.522</v>
      </c>
      <c r="AR160" s="580">
        <v>-4.521</v>
      </c>
      <c r="AS160" s="580">
        <v>0</v>
      </c>
      <c r="AT160" s="580">
        <v>2.201</v>
      </c>
      <c r="AU160" s="580">
        <f>AV160</f>
        <v>8.907</v>
      </c>
      <c r="AV160" s="579">
        <v>8.907</v>
      </c>
      <c r="AW160" s="580">
        <v>-3.224</v>
      </c>
      <c r="AX160" s="580">
        <v>0</v>
      </c>
      <c r="AY160" s="580">
        <v>0</v>
      </c>
      <c r="AZ160" s="580">
        <f>BA160</f>
        <v>-4.559</v>
      </c>
      <c r="BA160" s="579">
        <v>-4.559</v>
      </c>
      <c r="BB160" s="580">
        <v>-1.028</v>
      </c>
      <c r="BC160" s="580">
        <v>-0.145</v>
      </c>
      <c r="BD160" s="580">
        <v>-0.145</v>
      </c>
      <c r="BE160" s="580">
        <f>BF160</f>
        <v>-4.204</v>
      </c>
      <c r="BF160" s="579">
        <v>-4.204</v>
      </c>
      <c r="BG160" s="580">
        <v>-1.143</v>
      </c>
      <c r="BH160" s="580">
        <v>0</v>
      </c>
      <c r="BI160" s="580">
        <v>0</v>
      </c>
      <c r="BJ160" s="580">
        <f>BK160</f>
        <v>-2.918</v>
      </c>
      <c r="BK160" s="579">
        <v>-2.918</v>
      </c>
      <c r="BL160" s="580">
        <v>-1.961</v>
      </c>
      <c r="BM160" s="580">
        <v>0</v>
      </c>
      <c r="BN160" s="580">
        <v>-3.086</v>
      </c>
      <c r="BO160" s="580">
        <v>-3.229</v>
      </c>
      <c r="BP160" s="579">
        <f>BO160</f>
        <v>-3.229</v>
      </c>
      <c r="BQ160" s="580">
        <v>-6.5</v>
      </c>
      <c r="BR160" s="580">
        <f>-7.001-0.744</f>
        <v>-7.745</v>
      </c>
      <c r="BS160" s="580">
        <f>-8.538-0.745</f>
        <v>-9.283</v>
      </c>
      <c r="BT160" s="580">
        <f>-8.779-0.745</f>
        <v>-9.524</v>
      </c>
      <c r="BU160" s="579">
        <f>BT160</f>
        <v>-9.524</v>
      </c>
      <c r="BV160" s="580">
        <v>-18.939</v>
      </c>
      <c r="BW160" s="580">
        <v>-19.4</v>
      </c>
      <c r="BX160" s="580">
        <v>-21.493</v>
      </c>
      <c r="BY160" s="580">
        <v>-21.944</v>
      </c>
      <c r="BZ160" s="579">
        <f>BY160</f>
        <v>-21.944</v>
      </c>
      <c r="CA160" s="580">
        <v>-30.059</v>
      </c>
      <c r="CB160" s="580">
        <v>-30.957</v>
      </c>
      <c r="CC160" s="580">
        <v>-31.883</v>
      </c>
      <c r="CD160" s="580">
        <v>-32.388</v>
      </c>
      <c r="CE160" s="579">
        <f>CD160</f>
        <v>-32.388</v>
      </c>
      <c r="CF160" s="580">
        <v>-42.899</v>
      </c>
      <c r="CG160" s="580">
        <v>-45.567</v>
      </c>
      <c r="CH160" s="580">
        <v>-49.481</v>
      </c>
      <c r="CI160" s="580">
        <f>-49.809-0.77</f>
        <v>-50.579</v>
      </c>
      <c r="CJ160" s="579">
        <f>CI160</f>
        <v>-50.579</v>
      </c>
      <c r="CK160" s="580">
        <v>-32.059</v>
      </c>
      <c r="CL160" s="580">
        <v>-32.778</v>
      </c>
      <c r="CM160" s="580">
        <v>-34.695</v>
      </c>
      <c r="CN160" s="580">
        <f>-35.158-0.032</f>
        <v>-35.19</v>
      </c>
      <c r="CO160" s="579">
        <f>CN160</f>
        <v>-35.19</v>
      </c>
      <c r="CP160" s="580">
        <v>-28.793</v>
      </c>
      <c r="CQ160" s="580">
        <v>-29.735</v>
      </c>
      <c r="CR160" s="580">
        <v>-30.877</v>
      </c>
      <c r="CS160" s="580">
        <f>-0.032-32.574</f>
        <v>-32.606</v>
      </c>
      <c r="CT160" s="579">
        <f>CS160</f>
        <v>-32.606</v>
      </c>
      <c r="CU160" s="580">
        <v>-32.542</v>
      </c>
      <c r="CV160" s="580">
        <v>-33.371</v>
      </c>
      <c r="CW160" s="580">
        <v>-34.259</v>
      </c>
      <c r="CX160" s="580">
        <f>-35.41-0.032</f>
        <v>-35.442</v>
      </c>
      <c r="CY160" s="579">
        <f>CX160</f>
        <v>-35.442</v>
      </c>
      <c r="CZ160" s="580">
        <f>-8.115-25.641</f>
        <v>-33.756</v>
      </c>
      <c r="DA160" s="580">
        <f>-26.514-8.115</f>
        <v>-34.629</v>
      </c>
      <c r="DB160" s="580">
        <f>-26.79-11.205</f>
        <v>-37.995</v>
      </c>
      <c r="DC160" s="580">
        <f>-27.372-11.312</f>
        <v>-38.684</v>
      </c>
      <c r="DD160" s="579">
        <f>DC160</f>
        <v>-38.684</v>
      </c>
      <c r="DE160" s="580">
        <f>-12.019-4.75</f>
        <v>-16.769</v>
      </c>
      <c r="DF160" s="580">
        <f>-4.751-12.369</f>
        <v>-17.12</v>
      </c>
      <c r="DG160" s="580"/>
      <c r="DH160" s="580"/>
      <c r="DI160" s="579"/>
      <c r="DJ160" s="580"/>
      <c r="DK160" s="580"/>
      <c r="DL160" s="580"/>
      <c r="DM160" s="580"/>
      <c r="DN160" s="579"/>
      <c r="DO160" s="580"/>
      <c r="DP160" s="580"/>
      <c r="DQ160" s="580"/>
      <c r="DR160" s="580"/>
      <c r="DS160" s="579"/>
    </row>
    <row r="161" hidden="1" outlineLevel="1" spans="1:123">
      <c r="B161" s="609"/>
      <c r="C161" s="579"/>
      <c r="D161" s="580"/>
      <c r="E161" s="580"/>
      <c r="F161" s="580"/>
      <c r="G161" s="580"/>
      <c r="H161" s="579"/>
      <c r="I161" s="580"/>
      <c r="J161" s="580"/>
      <c r="K161" s="580"/>
      <c r="L161" s="580"/>
      <c r="M161" s="579"/>
      <c r="N161" s="580"/>
      <c r="O161" s="580"/>
      <c r="P161" s="580"/>
      <c r="Q161" s="580"/>
      <c r="R161" s="579"/>
      <c r="S161" s="580"/>
      <c r="T161" s="580"/>
      <c r="U161" s="580"/>
      <c r="V161" s="580"/>
      <c r="W161" s="579"/>
      <c r="X161" s="580"/>
      <c r="Y161" s="580"/>
      <c r="Z161" s="580"/>
      <c r="AA161" s="580"/>
      <c r="AB161" s="579"/>
      <c r="AC161" s="580"/>
      <c r="AD161" s="580"/>
      <c r="AE161" s="580"/>
      <c r="AF161" s="580"/>
      <c r="AG161" s="579"/>
      <c r="AH161" s="580"/>
      <c r="AI161" s="580"/>
      <c r="AJ161" s="580"/>
      <c r="AK161" s="580"/>
      <c r="AL161" s="579"/>
      <c r="AM161" s="580"/>
      <c r="AN161" s="580"/>
      <c r="AO161" s="580"/>
      <c r="AP161" s="580"/>
      <c r="AQ161" s="579"/>
      <c r="AR161" s="580"/>
      <c r="AS161" s="580"/>
      <c r="AT161" s="580"/>
      <c r="AU161" s="580"/>
      <c r="AV161" s="579"/>
      <c r="AW161" s="580"/>
      <c r="AX161" s="580"/>
      <c r="AY161" s="580"/>
      <c r="AZ161" s="580"/>
      <c r="BA161" s="579"/>
      <c r="BB161" s="580"/>
      <c r="BC161" s="580"/>
      <c r="BD161" s="580"/>
      <c r="BE161" s="580"/>
      <c r="BF161" s="579"/>
      <c r="BG161" s="580"/>
      <c r="BH161" s="580"/>
      <c r="BI161" s="580"/>
      <c r="BJ161" s="580"/>
      <c r="BK161" s="579"/>
      <c r="BL161" s="580"/>
      <c r="BM161" s="580"/>
      <c r="BN161" s="580"/>
      <c r="BO161" s="580"/>
      <c r="BP161" s="579"/>
      <c r="BQ161" s="580"/>
      <c r="BR161" s="580"/>
      <c r="BS161" s="580"/>
      <c r="BT161" s="580"/>
      <c r="BU161" s="579"/>
      <c r="BV161" s="580"/>
      <c r="BW161" s="580"/>
      <c r="BX161" s="580"/>
      <c r="BY161" s="580"/>
      <c r="BZ161" s="579"/>
      <c r="CA161" s="580"/>
      <c r="CB161" s="580"/>
      <c r="CC161" s="580"/>
      <c r="CD161" s="580"/>
      <c r="CE161" s="579"/>
      <c r="CF161" s="580"/>
      <c r="CG161" s="580"/>
      <c r="CH161" s="580"/>
      <c r="CI161" s="580"/>
      <c r="CJ161" s="579"/>
      <c r="CK161" s="580"/>
      <c r="CL161" s="580"/>
      <c r="CM161" s="580"/>
      <c r="CN161" s="580"/>
      <c r="CO161" s="579"/>
      <c r="CP161" s="580"/>
      <c r="CQ161" s="580"/>
      <c r="CR161" s="580"/>
      <c r="CS161" s="580"/>
      <c r="CT161" s="579"/>
      <c r="CU161" s="580"/>
      <c r="CV161" s="580"/>
      <c r="CW161" s="580"/>
      <c r="CX161" s="580"/>
      <c r="CY161" s="579"/>
      <c r="CZ161" s="580"/>
      <c r="DA161" s="580"/>
      <c r="DB161" s="580"/>
      <c r="DC161" s="580"/>
      <c r="DD161" s="579"/>
      <c r="DE161" s="580"/>
      <c r="DF161" s="580"/>
      <c r="DG161" s="580"/>
      <c r="DH161" s="580"/>
      <c r="DI161" s="579"/>
      <c r="DJ161" s="580"/>
      <c r="DK161" s="580"/>
      <c r="DL161" s="580"/>
      <c r="DM161" s="580"/>
      <c r="DN161" s="579"/>
      <c r="DO161" s="580"/>
      <c r="DP161" s="580"/>
      <c r="DQ161" s="580"/>
      <c r="DR161" s="580"/>
      <c r="DS161" s="579"/>
    </row>
    <row r="162" s="3" customFormat="1" hidden="1" outlineLevel="1" spans="1:123">
      <c r="A162" s="132"/>
      <c r="B162" s="611" t="s">
        <v>119</v>
      </c>
      <c r="C162" s="612"/>
      <c r="D162" s="613"/>
      <c r="E162" s="613"/>
      <c r="F162" s="613"/>
      <c r="G162" s="613"/>
      <c r="H162" s="612"/>
      <c r="I162" s="613"/>
      <c r="J162" s="613"/>
      <c r="K162" s="613"/>
      <c r="L162" s="613"/>
      <c r="M162" s="612">
        <f>SUM(M156:M160)</f>
        <v>0.668859</v>
      </c>
      <c r="N162" s="613"/>
      <c r="O162" s="613"/>
      <c r="P162" s="613"/>
      <c r="Q162" s="613"/>
      <c r="R162" s="612">
        <f>SUM(R156:R160)</f>
        <v>31.412157</v>
      </c>
      <c r="S162" s="613"/>
      <c r="T162" s="613"/>
      <c r="U162" s="613"/>
      <c r="V162" s="613"/>
      <c r="W162" s="612">
        <f>SUM(W156:W160)</f>
        <v>13.460884</v>
      </c>
      <c r="X162" s="613"/>
      <c r="Y162" s="613"/>
      <c r="Z162" s="613"/>
      <c r="AA162" s="613"/>
      <c r="AB162" s="612">
        <f>SUM(AB156:AB160)</f>
        <v>-2.649</v>
      </c>
      <c r="AC162" s="613"/>
      <c r="AD162" s="613"/>
      <c r="AE162" s="613"/>
      <c r="AF162" s="613"/>
      <c r="AG162" s="612">
        <f t="shared" ref="AG162:BZ162" si="418">SUM(AG156:AG160)</f>
        <v>13.699</v>
      </c>
      <c r="AH162" s="613">
        <f t="shared" si="418"/>
        <v>8.158</v>
      </c>
      <c r="AI162" s="613">
        <f t="shared" si="418"/>
        <v>12.095</v>
      </c>
      <c r="AJ162" s="613">
        <f t="shared" si="418"/>
        <v>14.474</v>
      </c>
      <c r="AK162" s="613">
        <f t="shared" si="418"/>
        <v>15.364</v>
      </c>
      <c r="AL162" s="612">
        <f t="shared" si="418"/>
        <v>15.364</v>
      </c>
      <c r="AM162" s="613">
        <f t="shared" si="418"/>
        <v>8.811</v>
      </c>
      <c r="AN162" s="613">
        <f t="shared" si="418"/>
        <v>10.47</v>
      </c>
      <c r="AO162" s="613">
        <f t="shared" si="418"/>
        <v>-11.863</v>
      </c>
      <c r="AP162" s="613">
        <f t="shared" si="418"/>
        <v>-5.491</v>
      </c>
      <c r="AQ162" s="612">
        <f t="shared" si="418"/>
        <v>-5.491</v>
      </c>
      <c r="AR162" s="613">
        <f t="shared" si="418"/>
        <v>-4.358</v>
      </c>
      <c r="AS162" s="613">
        <f t="shared" si="418"/>
        <v>6.305</v>
      </c>
      <c r="AT162" s="613">
        <f t="shared" si="418"/>
        <v>8.654</v>
      </c>
      <c r="AU162" s="613">
        <f t="shared" si="418"/>
        <v>8.907</v>
      </c>
      <c r="AV162" s="612">
        <f t="shared" si="418"/>
        <v>8.907</v>
      </c>
      <c r="AW162" s="613">
        <f t="shared" si="418"/>
        <v>-1.649</v>
      </c>
      <c r="AX162" s="613">
        <f t="shared" si="418"/>
        <v>-57.167</v>
      </c>
      <c r="AY162" s="613">
        <f t="shared" si="418"/>
        <v>-131.781</v>
      </c>
      <c r="AZ162" s="613">
        <f t="shared" si="418"/>
        <v>-149.077</v>
      </c>
      <c r="BA162" s="612">
        <f t="shared" si="418"/>
        <v>-149.077</v>
      </c>
      <c r="BB162" s="613">
        <f t="shared" si="418"/>
        <v>-17.041</v>
      </c>
      <c r="BC162" s="613">
        <f t="shared" si="418"/>
        <v>-78.837</v>
      </c>
      <c r="BD162" s="613">
        <f t="shared" si="418"/>
        <v>-167.452</v>
      </c>
      <c r="BE162" s="613">
        <f t="shared" si="418"/>
        <v>-273.693</v>
      </c>
      <c r="BF162" s="612">
        <f t="shared" si="418"/>
        <v>-273.693</v>
      </c>
      <c r="BG162" s="613">
        <f t="shared" si="418"/>
        <v>-13.329</v>
      </c>
      <c r="BH162" s="613">
        <f t="shared" si="418"/>
        <v>-23.877</v>
      </c>
      <c r="BI162" s="613">
        <f t="shared" si="418"/>
        <v>-23.96</v>
      </c>
      <c r="BJ162" s="613">
        <f t="shared" si="418"/>
        <v>-25.338</v>
      </c>
      <c r="BK162" s="612">
        <f t="shared" si="418"/>
        <v>-25.338</v>
      </c>
      <c r="BL162" s="613">
        <f t="shared" si="418"/>
        <v>-14.487</v>
      </c>
      <c r="BM162" s="613">
        <f t="shared" si="418"/>
        <v>-91.91</v>
      </c>
      <c r="BN162" s="613">
        <f t="shared" si="418"/>
        <v>-100.707</v>
      </c>
      <c r="BO162" s="613">
        <f t="shared" si="418"/>
        <v>-97.862</v>
      </c>
      <c r="BP162" s="612">
        <f t="shared" si="418"/>
        <v>-97.862</v>
      </c>
      <c r="BQ162" s="613">
        <f t="shared" si="418"/>
        <v>1.9</v>
      </c>
      <c r="BR162" s="613">
        <f t="shared" si="418"/>
        <v>-300.239</v>
      </c>
      <c r="BS162" s="613">
        <f t="shared" si="418"/>
        <v>-406.361</v>
      </c>
      <c r="BT162" s="613">
        <f t="shared" si="418"/>
        <v>-590.214</v>
      </c>
      <c r="BU162" s="612">
        <f t="shared" si="418"/>
        <v>-590.214</v>
      </c>
      <c r="BV162" s="613">
        <f t="shared" si="418"/>
        <v>-170.292</v>
      </c>
      <c r="BW162" s="613">
        <f t="shared" si="418"/>
        <v>-170.985</v>
      </c>
      <c r="BX162" s="613">
        <f t="shared" si="418"/>
        <v>-179.555</v>
      </c>
      <c r="BY162" s="613">
        <f t="shared" si="418"/>
        <v>-177.173</v>
      </c>
      <c r="BZ162" s="612">
        <f t="shared" si="418"/>
        <v>-177.173</v>
      </c>
      <c r="CA162" s="613">
        <f t="shared" ref="CA162:CK162" si="419">SUM(CA156:CA160)</f>
        <v>-90.587</v>
      </c>
      <c r="CB162" s="613">
        <f t="shared" si="419"/>
        <v>-82.157</v>
      </c>
      <c r="CC162" s="613">
        <f t="shared" si="419"/>
        <v>-81.404</v>
      </c>
      <c r="CD162" s="613">
        <f t="shared" si="419"/>
        <v>-80.788</v>
      </c>
      <c r="CE162" s="612">
        <f t="shared" si="419"/>
        <v>-80.788</v>
      </c>
      <c r="CF162" s="613">
        <f t="shared" si="419"/>
        <v>-122.235</v>
      </c>
      <c r="CG162" s="613">
        <f t="shared" si="419"/>
        <v>-290.767</v>
      </c>
      <c r="CH162" s="613">
        <f t="shared" si="419"/>
        <v>-523.197</v>
      </c>
      <c r="CI162" s="613">
        <f t="shared" si="419"/>
        <v>-844.987</v>
      </c>
      <c r="CJ162" s="612">
        <f t="shared" si="419"/>
        <v>-844.987</v>
      </c>
      <c r="CK162" s="613">
        <f t="shared" si="419"/>
        <v>-259.56</v>
      </c>
      <c r="CL162" s="613">
        <f t="shared" ref="CL162:CU162" si="420">SUM(CL156:CL160)</f>
        <v>-384.576</v>
      </c>
      <c r="CM162" s="613">
        <f t="shared" si="420"/>
        <v>-399.428</v>
      </c>
      <c r="CN162" s="613">
        <f t="shared" si="420"/>
        <v>-467.487</v>
      </c>
      <c r="CO162" s="612">
        <f t="shared" si="420"/>
        <v>-467.487</v>
      </c>
      <c r="CP162" s="613">
        <f t="shared" si="420"/>
        <v>-115.399</v>
      </c>
      <c r="CQ162" s="613">
        <f t="shared" si="420"/>
        <v>-305.651</v>
      </c>
      <c r="CR162" s="613">
        <f t="shared" si="420"/>
        <v>-510.583</v>
      </c>
      <c r="CS162" s="613">
        <f t="shared" si="420"/>
        <v>-548.828</v>
      </c>
      <c r="CT162" s="612">
        <f t="shared" si="420"/>
        <v>-548.828</v>
      </c>
      <c r="CU162" s="613">
        <f t="shared" si="420"/>
        <v>-328.628</v>
      </c>
      <c r="CV162" s="613">
        <f t="shared" ref="CV162:CZ162" si="421">SUM(CV156:CV160)</f>
        <v>-916.543</v>
      </c>
      <c r="CW162" s="613">
        <f t="shared" si="421"/>
        <v>-1328.51</v>
      </c>
      <c r="CX162" s="613">
        <f t="shared" si="421"/>
        <v>-1652.508</v>
      </c>
      <c r="CY162" s="612">
        <f t="shared" si="421"/>
        <v>-1652.508</v>
      </c>
      <c r="CZ162" s="613">
        <f t="shared" si="421"/>
        <v>-467.974</v>
      </c>
      <c r="DA162" s="613">
        <f t="shared" ref="DA162:DE162" si="422">SUM(DA156:DA160)</f>
        <v>-744.823</v>
      </c>
      <c r="DB162" s="613">
        <f t="shared" si="422"/>
        <v>-939.026</v>
      </c>
      <c r="DC162" s="613">
        <f t="shared" si="422"/>
        <v>-1208.656</v>
      </c>
      <c r="DD162" s="612">
        <f t="shared" si="422"/>
        <v>-1208.656</v>
      </c>
      <c r="DE162" s="613">
        <f t="shared" si="422"/>
        <v>-378.525</v>
      </c>
      <c r="DF162" s="613">
        <f t="shared" ref="DF162" si="423">SUM(DF156:DF160)</f>
        <v>-712.225</v>
      </c>
      <c r="DG162" s="613"/>
      <c r="DH162" s="613"/>
      <c r="DI162" s="612"/>
      <c r="DJ162" s="613"/>
      <c r="DK162" s="613"/>
      <c r="DL162" s="613"/>
      <c r="DM162" s="613"/>
      <c r="DN162" s="612"/>
      <c r="DO162" s="613"/>
      <c r="DP162" s="613"/>
      <c r="DQ162" s="613"/>
      <c r="DR162" s="613"/>
      <c r="DS162" s="612"/>
    </row>
    <row r="163" hidden="1" outlineLevel="1" spans="1:123">
      <c r="B163" s="609" t="s">
        <v>120</v>
      </c>
      <c r="C163" s="579"/>
      <c r="D163" s="580"/>
      <c r="E163" s="580"/>
      <c r="F163" s="580"/>
      <c r="G163" s="580"/>
      <c r="H163" s="579"/>
      <c r="I163" s="580"/>
      <c r="J163" s="580"/>
      <c r="K163" s="580"/>
      <c r="L163" s="580"/>
      <c r="M163" s="579">
        <v>-0.616486</v>
      </c>
      <c r="N163" s="580"/>
      <c r="O163" s="580"/>
      <c r="P163" s="580"/>
      <c r="Q163" s="580"/>
      <c r="R163" s="579">
        <f>4.393563+0.2597</f>
        <v>4.653263</v>
      </c>
      <c r="S163" s="580"/>
      <c r="T163" s="580"/>
      <c r="U163" s="580"/>
      <c r="V163" s="580"/>
      <c r="W163" s="579">
        <v>-8.851203</v>
      </c>
      <c r="X163" s="580"/>
      <c r="Y163" s="580"/>
      <c r="Z163" s="580"/>
      <c r="AA163" s="580"/>
      <c r="AB163" s="579">
        <v>3.772</v>
      </c>
      <c r="AC163" s="580"/>
      <c r="AD163" s="580"/>
      <c r="AE163" s="580"/>
      <c r="AF163" s="580"/>
      <c r="AG163" s="579">
        <v>5.858</v>
      </c>
      <c r="AH163" s="580">
        <v>5.603</v>
      </c>
      <c r="AI163" s="580">
        <v>4.142</v>
      </c>
      <c r="AJ163" s="580">
        <v>-0.99</v>
      </c>
      <c r="AK163" s="580">
        <v>-3.517</v>
      </c>
      <c r="AL163" s="579">
        <v>-3.517</v>
      </c>
      <c r="AM163" s="580">
        <v>2.826</v>
      </c>
      <c r="AN163" s="580">
        <v>-0.095</v>
      </c>
      <c r="AO163" s="580">
        <v>0.65</v>
      </c>
      <c r="AP163" s="580">
        <v>-0.651</v>
      </c>
      <c r="AQ163" s="579">
        <v>-0.651</v>
      </c>
      <c r="AR163" s="580">
        <v>-1.562</v>
      </c>
      <c r="AS163" s="580">
        <v>-13.128</v>
      </c>
      <c r="AT163" s="580">
        <v>-20.948</v>
      </c>
      <c r="AU163" s="580">
        <v>-72.368</v>
      </c>
      <c r="AV163" s="579">
        <v>-72.368</v>
      </c>
      <c r="AW163" s="580">
        <v>9.437</v>
      </c>
      <c r="AX163" s="580">
        <v>11.708</v>
      </c>
      <c r="AY163" s="580">
        <v>-10.754</v>
      </c>
      <c r="AZ163" s="580">
        <v>-79.809</v>
      </c>
      <c r="BA163" s="579">
        <v>-79.809</v>
      </c>
      <c r="BB163" s="580">
        <v>15.439</v>
      </c>
      <c r="BC163" s="580">
        <v>-11.423</v>
      </c>
      <c r="BD163" s="580">
        <v>-11.46</v>
      </c>
      <c r="BE163" s="580">
        <v>-44.557</v>
      </c>
      <c r="BF163" s="579">
        <v>-44.557</v>
      </c>
      <c r="BG163" s="580">
        <v>48.803</v>
      </c>
      <c r="BH163" s="580">
        <v>29.018</v>
      </c>
      <c r="BI163" s="580">
        <v>11.701</v>
      </c>
      <c r="BJ163" s="580">
        <v>23.094</v>
      </c>
      <c r="BK163" s="579">
        <v>23.094</v>
      </c>
      <c r="BL163" s="580">
        <v>-21.591</v>
      </c>
      <c r="BM163" s="580">
        <v>26.127</v>
      </c>
      <c r="BN163" s="580">
        <v>4.657</v>
      </c>
      <c r="BO163" s="580">
        <v>37.572</v>
      </c>
      <c r="BP163" s="579">
        <f>BO163</f>
        <v>37.572</v>
      </c>
      <c r="BQ163" s="580">
        <v>-27.353</v>
      </c>
      <c r="BR163" s="580">
        <v>-33.155</v>
      </c>
      <c r="BS163" s="580">
        <v>-31.495</v>
      </c>
      <c r="BT163" s="580">
        <v>-18.952</v>
      </c>
      <c r="BU163" s="579">
        <f>BT163</f>
        <v>-18.952</v>
      </c>
      <c r="BV163" s="580">
        <v>-8.076</v>
      </c>
      <c r="BW163" s="580">
        <v>-4.67</v>
      </c>
      <c r="BX163" s="580">
        <v>1.757</v>
      </c>
      <c r="BY163" s="580">
        <v>-1.55</v>
      </c>
      <c r="BZ163" s="579">
        <f>BY163</f>
        <v>-1.55</v>
      </c>
      <c r="CA163" s="580">
        <v>-13.043</v>
      </c>
      <c r="CB163" s="580">
        <v>-3.089</v>
      </c>
      <c r="CC163" s="580">
        <v>0.62</v>
      </c>
      <c r="CD163" s="580">
        <v>29.996</v>
      </c>
      <c r="CE163" s="579">
        <f>CD163</f>
        <v>29.996</v>
      </c>
      <c r="CF163" s="580">
        <v>22.812</v>
      </c>
      <c r="CG163" s="580">
        <v>12.012</v>
      </c>
      <c r="CH163" s="580">
        <v>21.585</v>
      </c>
      <c r="CI163" s="580">
        <v>-6.876</v>
      </c>
      <c r="CJ163" s="579">
        <f>CI163</f>
        <v>-6.876</v>
      </c>
      <c r="CK163" s="580">
        <v>-6.711</v>
      </c>
      <c r="CL163" s="580">
        <v>-5.902</v>
      </c>
      <c r="CM163" s="580">
        <v>-41.156</v>
      </c>
      <c r="CN163" s="580">
        <v>-34.043</v>
      </c>
      <c r="CO163" s="579">
        <f>CN163</f>
        <v>-34.043</v>
      </c>
      <c r="CP163" s="580">
        <v>3.855</v>
      </c>
      <c r="CQ163" s="580">
        <v>19.761</v>
      </c>
      <c r="CR163" s="580">
        <v>-19.887</v>
      </c>
      <c r="CS163" s="580">
        <v>-4.1</v>
      </c>
      <c r="CT163" s="579">
        <f>CS163</f>
        <v>-4.1</v>
      </c>
      <c r="CU163" s="580">
        <v>-10.658</v>
      </c>
      <c r="CV163" s="580">
        <v>-21.355</v>
      </c>
      <c r="CW163" s="580">
        <v>-23.151</v>
      </c>
      <c r="CX163" s="580">
        <v>-81.666</v>
      </c>
      <c r="CY163" s="579">
        <f>CX163</f>
        <v>-81.666</v>
      </c>
      <c r="CZ163" s="580">
        <v>34.706</v>
      </c>
      <c r="DA163" s="580">
        <v>26.519</v>
      </c>
      <c r="DB163" s="580">
        <v>19.973</v>
      </c>
      <c r="DC163" s="580">
        <v>91.163</v>
      </c>
      <c r="DD163" s="579">
        <f>DC163</f>
        <v>91.163</v>
      </c>
      <c r="DE163" s="580">
        <v>10.462</v>
      </c>
      <c r="DF163" s="580">
        <v>-12.716</v>
      </c>
      <c r="DG163" s="580"/>
      <c r="DH163" s="580"/>
      <c r="DI163" s="579"/>
      <c r="DJ163" s="580"/>
      <c r="DK163" s="580"/>
      <c r="DL163" s="580"/>
      <c r="DM163" s="580"/>
      <c r="DN163" s="579"/>
      <c r="DO163" s="580"/>
      <c r="DP163" s="580"/>
      <c r="DQ163" s="580"/>
      <c r="DR163" s="580"/>
      <c r="DS163" s="579"/>
    </row>
    <row r="164" hidden="1" outlineLevel="1" spans="1:123">
      <c r="B164" s="609"/>
      <c r="C164" s="579"/>
      <c r="D164" s="580"/>
      <c r="E164" s="580"/>
      <c r="F164" s="580"/>
      <c r="G164" s="580"/>
      <c r="H164" s="579"/>
      <c r="I164" s="580"/>
      <c r="J164" s="580"/>
      <c r="K164" s="580"/>
      <c r="L164" s="580"/>
      <c r="M164" s="579"/>
      <c r="N164" s="580"/>
      <c r="O164" s="580"/>
      <c r="P164" s="580"/>
      <c r="Q164" s="580"/>
      <c r="R164" s="579"/>
      <c r="S164" s="580"/>
      <c r="T164" s="580"/>
      <c r="U164" s="580"/>
      <c r="V164" s="580"/>
      <c r="W164" s="579"/>
      <c r="X164" s="580"/>
      <c r="Y164" s="580"/>
      <c r="Z164" s="580"/>
      <c r="AA164" s="580"/>
      <c r="AB164" s="579"/>
      <c r="AC164" s="580"/>
      <c r="AD164" s="580"/>
      <c r="AE164" s="580"/>
      <c r="AF164" s="580"/>
      <c r="AG164" s="579"/>
      <c r="AH164" s="580"/>
      <c r="AI164" s="580"/>
      <c r="AJ164" s="580"/>
      <c r="AK164" s="580"/>
      <c r="AL164" s="579"/>
      <c r="AM164" s="580"/>
      <c r="AN164" s="580"/>
      <c r="AO164" s="580"/>
      <c r="AP164" s="580"/>
      <c r="AQ164" s="579"/>
      <c r="AR164" s="580"/>
      <c r="AS164" s="580"/>
      <c r="AT164" s="580"/>
      <c r="AU164" s="580"/>
      <c r="AV164" s="579"/>
      <c r="AW164" s="580"/>
      <c r="AX164" s="580"/>
      <c r="AY164" s="580"/>
      <c r="AZ164" s="580"/>
      <c r="BA164" s="579"/>
      <c r="BB164" s="580"/>
      <c r="BC164" s="580"/>
      <c r="BD164" s="580"/>
      <c r="BE164" s="580"/>
      <c r="BF164" s="579"/>
      <c r="BG164" s="580"/>
      <c r="BH164" s="580"/>
      <c r="BI164" s="580"/>
      <c r="BJ164" s="580"/>
      <c r="BK164" s="579"/>
      <c r="BL164" s="580"/>
      <c r="BM164" s="580"/>
      <c r="BN164" s="580"/>
      <c r="BO164" s="580"/>
      <c r="BP164" s="579"/>
      <c r="BQ164" s="580"/>
      <c r="BR164" s="580"/>
      <c r="BS164" s="580"/>
      <c r="BT164" s="580"/>
      <c r="BU164" s="579"/>
      <c r="BV164" s="580"/>
      <c r="BW164" s="580"/>
      <c r="BX164" s="580"/>
      <c r="BY164" s="580"/>
      <c r="BZ164" s="579"/>
      <c r="CA164" s="580"/>
      <c r="CB164" s="580"/>
      <c r="CC164" s="580"/>
      <c r="CD164" s="580"/>
      <c r="CE164" s="579"/>
      <c r="CF164" s="580"/>
      <c r="CG164" s="580"/>
      <c r="CH164" s="580"/>
      <c r="CI164" s="580"/>
      <c r="CJ164" s="579"/>
      <c r="CK164" s="580"/>
      <c r="CL164" s="580"/>
      <c r="CM164" s="580"/>
      <c r="CN164" s="580"/>
      <c r="CO164" s="579"/>
      <c r="CP164" s="580"/>
      <c r="CQ164" s="580"/>
      <c r="CR164" s="580"/>
      <c r="CS164" s="580"/>
      <c r="CT164" s="579"/>
      <c r="CU164" s="580"/>
      <c r="CV164" s="580"/>
      <c r="CW164" s="580"/>
      <c r="CX164" s="580"/>
      <c r="CY164" s="579"/>
      <c r="CZ164" s="580"/>
      <c r="DA164" s="580"/>
      <c r="DB164" s="580"/>
      <c r="DC164" s="580"/>
      <c r="DD164" s="579"/>
      <c r="DE164" s="580"/>
      <c r="DF164" s="580"/>
      <c r="DG164" s="580"/>
      <c r="DH164" s="580"/>
      <c r="DI164" s="579"/>
      <c r="DJ164" s="580"/>
      <c r="DK164" s="580"/>
      <c r="DL164" s="580"/>
      <c r="DM164" s="580"/>
      <c r="DN164" s="579"/>
      <c r="DO164" s="580"/>
      <c r="DP164" s="580"/>
      <c r="DQ164" s="580"/>
      <c r="DR164" s="580"/>
      <c r="DS164" s="579"/>
    </row>
    <row r="165" s="3" customFormat="1" hidden="1" outlineLevel="1" spans="1:123">
      <c r="A165" s="132"/>
      <c r="B165" s="611" t="s">
        <v>121</v>
      </c>
      <c r="C165" s="612"/>
      <c r="D165" s="613"/>
      <c r="E165" s="613"/>
      <c r="F165" s="613"/>
      <c r="G165" s="613"/>
      <c r="H165" s="612"/>
      <c r="I165" s="613"/>
      <c r="J165" s="613"/>
      <c r="K165" s="613"/>
      <c r="L165" s="613"/>
      <c r="M165" s="612">
        <f>SUM(M146,M152,M162,M163)</f>
        <v>11.6168201</v>
      </c>
      <c r="N165" s="613"/>
      <c r="O165" s="613"/>
      <c r="P165" s="613"/>
      <c r="Q165" s="613"/>
      <c r="R165" s="612">
        <f>SUM(R146,R152,R162,R163)</f>
        <v>37.310838</v>
      </c>
      <c r="S165" s="613"/>
      <c r="T165" s="613"/>
      <c r="U165" s="613"/>
      <c r="V165" s="613"/>
      <c r="W165" s="612">
        <f>SUM(W146,W152,W162,W163)</f>
        <v>3.45200999999999</v>
      </c>
      <c r="X165" s="613"/>
      <c r="Y165" s="613"/>
      <c r="Z165" s="613"/>
      <c r="AA165" s="613"/>
      <c r="AB165" s="612">
        <f>SUM(AB146,AB152,AB162,AB163)</f>
        <v>102.776</v>
      </c>
      <c r="AC165" s="613"/>
      <c r="AD165" s="613"/>
      <c r="AE165" s="613"/>
      <c r="AF165" s="613"/>
      <c r="AG165" s="612">
        <f t="shared" ref="AG165:CE165" si="424">SUM(AG146,AG152,AG162,AG163)</f>
        <v>156.713</v>
      </c>
      <c r="AH165" s="613">
        <f t="shared" si="424"/>
        <v>-55.415</v>
      </c>
      <c r="AI165" s="613">
        <f t="shared" si="424"/>
        <v>-51.558</v>
      </c>
      <c r="AJ165" s="613">
        <f t="shared" si="424"/>
        <v>-39.341</v>
      </c>
      <c r="AK165" s="613">
        <f t="shared" si="424"/>
        <v>93.1510000000001</v>
      </c>
      <c r="AL165" s="612">
        <f t="shared" si="424"/>
        <v>93.151</v>
      </c>
      <c r="AM165" s="613">
        <f t="shared" si="424"/>
        <v>14.893</v>
      </c>
      <c r="AN165" s="613">
        <f t="shared" si="424"/>
        <v>34.849</v>
      </c>
      <c r="AO165" s="613">
        <f t="shared" si="424"/>
        <v>29.986</v>
      </c>
      <c r="AP165" s="613">
        <f t="shared" si="424"/>
        <v>180.742</v>
      </c>
      <c r="AQ165" s="612">
        <f t="shared" si="424"/>
        <v>180.742</v>
      </c>
      <c r="AR165" s="613">
        <f t="shared" si="424"/>
        <v>-1.76099999999994</v>
      </c>
      <c r="AS165" s="613">
        <f t="shared" si="424"/>
        <v>20.095</v>
      </c>
      <c r="AT165" s="613">
        <f t="shared" si="424"/>
        <v>10.567</v>
      </c>
      <c r="AU165" s="613">
        <f t="shared" si="424"/>
        <v>108.47</v>
      </c>
      <c r="AV165" s="612">
        <f t="shared" si="424"/>
        <v>108.47</v>
      </c>
      <c r="AW165" s="613">
        <f t="shared" si="424"/>
        <v>53.31</v>
      </c>
      <c r="AX165" s="613">
        <f t="shared" si="424"/>
        <v>26.404</v>
      </c>
      <c r="AY165" s="613">
        <f t="shared" si="424"/>
        <v>-65.115</v>
      </c>
      <c r="AZ165" s="613">
        <f t="shared" si="424"/>
        <v>-34.1699999999999</v>
      </c>
      <c r="BA165" s="612">
        <f t="shared" si="424"/>
        <v>-34.1699999999999</v>
      </c>
      <c r="BB165" s="613">
        <f t="shared" si="424"/>
        <v>-8.59799999999997</v>
      </c>
      <c r="BC165" s="613">
        <f t="shared" si="424"/>
        <v>-123.217</v>
      </c>
      <c r="BD165" s="613">
        <f t="shared" si="424"/>
        <v>-261.04</v>
      </c>
      <c r="BE165" s="613">
        <f t="shared" si="424"/>
        <v>-163.004</v>
      </c>
      <c r="BF165" s="612">
        <f t="shared" si="424"/>
        <v>-162.997</v>
      </c>
      <c r="BG165" s="613">
        <f t="shared" si="424"/>
        <v>48.564</v>
      </c>
      <c r="BH165" s="613">
        <f t="shared" si="424"/>
        <v>33.868</v>
      </c>
      <c r="BI165" s="613">
        <f t="shared" si="424"/>
        <v>-21.096</v>
      </c>
      <c r="BJ165" s="613">
        <f t="shared" si="424"/>
        <v>233.371583385339</v>
      </c>
      <c r="BK165" s="612">
        <f t="shared" si="424"/>
        <v>233.364</v>
      </c>
      <c r="BL165" s="613">
        <f t="shared" si="424"/>
        <v>-36.557</v>
      </c>
      <c r="BM165" s="613">
        <f t="shared" si="424"/>
        <v>-13.6339999999999</v>
      </c>
      <c r="BN165" s="613">
        <f t="shared" si="424"/>
        <v>-84.7759999999997</v>
      </c>
      <c r="BO165" s="613">
        <f t="shared" si="424"/>
        <v>255.671</v>
      </c>
      <c r="BP165" s="612">
        <f t="shared" si="424"/>
        <v>255.654</v>
      </c>
      <c r="BQ165" s="613">
        <f t="shared" si="424"/>
        <v>-23.93</v>
      </c>
      <c r="BR165" s="613">
        <f t="shared" si="424"/>
        <v>-212.66</v>
      </c>
      <c r="BS165" s="613">
        <f t="shared" si="424"/>
        <v>-286.894</v>
      </c>
      <c r="BT165" s="613">
        <f t="shared" si="424"/>
        <v>-109.181</v>
      </c>
      <c r="BU165" s="612">
        <f t="shared" si="424"/>
        <v>-109.181</v>
      </c>
      <c r="BV165" s="613">
        <f t="shared" si="424"/>
        <v>-305.079</v>
      </c>
      <c r="BW165" s="613">
        <f t="shared" si="424"/>
        <v>-257.582</v>
      </c>
      <c r="BX165" s="613">
        <f t="shared" si="424"/>
        <v>-295.167</v>
      </c>
      <c r="BY165" s="613">
        <f t="shared" si="424"/>
        <v>212.185</v>
      </c>
      <c r="BZ165" s="612">
        <f t="shared" si="424"/>
        <v>212.185</v>
      </c>
      <c r="CA165" s="613">
        <f t="shared" si="424"/>
        <v>-270.499</v>
      </c>
      <c r="CB165" s="613">
        <f t="shared" si="424"/>
        <v>-570.507</v>
      </c>
      <c r="CC165" s="613">
        <f t="shared" si="424"/>
        <v>-611.924</v>
      </c>
      <c r="CD165" s="613">
        <f t="shared" si="424"/>
        <v>57.0119999999999</v>
      </c>
      <c r="CE165" s="612">
        <f t="shared" si="424"/>
        <v>57.0120000000003</v>
      </c>
      <c r="CF165" s="613">
        <f t="shared" ref="CF165:CK165" si="425">SUM(CF146,CF152,CF162,CF163)</f>
        <v>29.222</v>
      </c>
      <c r="CG165" s="613">
        <f t="shared" si="425"/>
        <v>19.5239999999999</v>
      </c>
      <c r="CH165" s="613">
        <f t="shared" si="425"/>
        <v>-156.926</v>
      </c>
      <c r="CI165" s="613">
        <f t="shared" si="425"/>
        <v>109.354</v>
      </c>
      <c r="CJ165" s="612">
        <f t="shared" si="425"/>
        <v>109.354</v>
      </c>
      <c r="CK165" s="613">
        <f t="shared" si="425"/>
        <v>-610.855</v>
      </c>
      <c r="CL165" s="613">
        <f t="shared" ref="CL165:CV165" si="426">SUM(CL146,CL152,CL162,CL163)</f>
        <v>-761.04</v>
      </c>
      <c r="CM165" s="613">
        <f t="shared" si="426"/>
        <v>-907.247</v>
      </c>
      <c r="CN165" s="613">
        <f t="shared" si="426"/>
        <v>-105.004</v>
      </c>
      <c r="CO165" s="612">
        <f t="shared" si="426"/>
        <v>-105.004</v>
      </c>
      <c r="CP165" s="613">
        <f t="shared" si="426"/>
        <v>-204.26</v>
      </c>
      <c r="CQ165" s="613">
        <f t="shared" si="426"/>
        <v>-47.3370000000001</v>
      </c>
      <c r="CR165" s="613">
        <f t="shared" si="426"/>
        <v>-63.7290000000004</v>
      </c>
      <c r="CS165" s="613">
        <f t="shared" si="426"/>
        <v>1089.104</v>
      </c>
      <c r="CT165" s="612">
        <f t="shared" si="426"/>
        <v>1089.104</v>
      </c>
      <c r="CU165" s="613">
        <f t="shared" si="426"/>
        <v>-343.299</v>
      </c>
      <c r="CV165" s="613">
        <f t="shared" si="426"/>
        <v>-633.859</v>
      </c>
      <c r="CW165" s="613">
        <f t="shared" ref="CW165:CX165" si="427">SUM(CW146,CW152,CW162,CW163)</f>
        <v>-1055.552</v>
      </c>
      <c r="CX165" s="613">
        <f t="shared" si="427"/>
        <v>-259.635</v>
      </c>
      <c r="CY165" s="612">
        <f t="shared" ref="CY165:DC165" si="428">SUM(CY146,CY152,CY162,CY163)</f>
        <v>-259.635</v>
      </c>
      <c r="CZ165" s="613">
        <f t="shared" si="428"/>
        <v>-659.064</v>
      </c>
      <c r="DA165" s="613">
        <f t="shared" si="428"/>
        <v>-828.542</v>
      </c>
      <c r="DB165" s="613">
        <f t="shared" si="428"/>
        <v>-948.504</v>
      </c>
      <c r="DC165" s="613">
        <f t="shared" si="428"/>
        <v>-177.134</v>
      </c>
      <c r="DD165" s="612">
        <f t="shared" ref="DD165:DF165" si="429">SUM(DD146,DD152,DD162,DD163)</f>
        <v>-177.133999999999</v>
      </c>
      <c r="DE165" s="613">
        <f t="shared" si="429"/>
        <v>-292.473</v>
      </c>
      <c r="DF165" s="613">
        <f t="shared" si="429"/>
        <v>-417.465</v>
      </c>
      <c r="DG165" s="613"/>
      <c r="DH165" s="613"/>
      <c r="DI165" s="612"/>
      <c r="DJ165" s="613"/>
      <c r="DK165" s="613"/>
      <c r="DL165" s="613"/>
      <c r="DM165" s="613"/>
      <c r="DN165" s="612"/>
      <c r="DO165" s="613"/>
      <c r="DP165" s="613"/>
      <c r="DQ165" s="613"/>
      <c r="DR165" s="613"/>
      <c r="DS165" s="612"/>
    </row>
    <row r="166" hidden="1" outlineLevel="1" spans="1:123">
      <c r="B166" s="609"/>
      <c r="C166" s="579"/>
      <c r="D166" s="580"/>
      <c r="E166" s="580"/>
      <c r="F166" s="580"/>
      <c r="G166" s="580"/>
      <c r="H166" s="579"/>
      <c r="I166" s="580"/>
      <c r="J166" s="580"/>
      <c r="K166" s="580"/>
      <c r="L166" s="580"/>
      <c r="M166" s="579"/>
      <c r="N166" s="580"/>
      <c r="O166" s="580"/>
      <c r="P166" s="580"/>
      <c r="Q166" s="580"/>
      <c r="R166" s="579"/>
      <c r="S166" s="580"/>
      <c r="T166" s="580"/>
      <c r="U166" s="580"/>
      <c r="V166" s="580"/>
      <c r="W166" s="579"/>
      <c r="X166" s="580"/>
      <c r="Y166" s="580"/>
      <c r="Z166" s="580"/>
      <c r="AA166" s="580"/>
      <c r="AB166" s="579"/>
      <c r="AC166" s="580"/>
      <c r="AD166" s="580"/>
      <c r="AE166" s="580"/>
      <c r="AF166" s="580"/>
      <c r="AG166" s="579"/>
      <c r="AH166" s="580"/>
      <c r="AI166" s="580"/>
      <c r="AJ166" s="580"/>
      <c r="AK166" s="580"/>
      <c r="AL166" s="579"/>
      <c r="AM166" s="580"/>
      <c r="AN166" s="580"/>
      <c r="AO166" s="580"/>
      <c r="AP166" s="580"/>
      <c r="AQ166" s="579"/>
      <c r="AR166" s="580"/>
      <c r="AS166" s="580"/>
      <c r="AT166" s="580"/>
      <c r="AU166" s="580"/>
      <c r="AV166" s="579"/>
      <c r="AW166" s="580"/>
      <c r="AX166" s="580"/>
      <c r="AY166" s="580"/>
      <c r="AZ166" s="580"/>
      <c r="BA166" s="579"/>
      <c r="BB166" s="580"/>
      <c r="BC166" s="580"/>
      <c r="BD166" s="580"/>
      <c r="BE166" s="580"/>
      <c r="BF166" s="579"/>
      <c r="BG166" s="580"/>
      <c r="BH166" s="580"/>
      <c r="BI166" s="580"/>
      <c r="BJ166" s="580"/>
      <c r="BK166" s="579"/>
      <c r="BL166" s="580"/>
      <c r="BM166" s="580"/>
      <c r="BN166" s="580"/>
      <c r="BO166" s="580"/>
      <c r="BP166" s="579"/>
      <c r="BQ166" s="580"/>
      <c r="BR166" s="580"/>
      <c r="BS166" s="580"/>
      <c r="BT166" s="580"/>
      <c r="BU166" s="579"/>
      <c r="BV166" s="580"/>
      <c r="BW166" s="580"/>
      <c r="BX166" s="580"/>
      <c r="BY166" s="580"/>
      <c r="BZ166" s="579"/>
      <c r="CA166" s="580"/>
      <c r="CB166" s="580"/>
      <c r="CC166" s="580"/>
      <c r="CD166" s="580"/>
      <c r="CE166" s="579"/>
      <c r="CF166" s="580"/>
      <c r="CG166" s="580"/>
      <c r="CH166" s="580"/>
      <c r="CI166" s="580"/>
      <c r="CJ166" s="579"/>
      <c r="CK166" s="580"/>
      <c r="CL166" s="580"/>
      <c r="CM166" s="580"/>
      <c r="CN166" s="580"/>
      <c r="CO166" s="579"/>
      <c r="CP166" s="580"/>
      <c r="CQ166" s="580"/>
      <c r="CR166" s="580"/>
      <c r="CS166" s="580"/>
      <c r="CT166" s="579"/>
      <c r="CU166" s="580"/>
      <c r="CV166" s="580"/>
      <c r="CW166" s="580"/>
      <c r="CX166" s="580"/>
      <c r="CY166" s="579"/>
      <c r="CZ166" s="580"/>
      <c r="DA166" s="580"/>
      <c r="DB166" s="580"/>
      <c r="DC166" s="580"/>
      <c r="DD166" s="579"/>
      <c r="DE166" s="580"/>
      <c r="DF166" s="580"/>
      <c r="DG166" s="580"/>
      <c r="DH166" s="580"/>
      <c r="DI166" s="579"/>
      <c r="DJ166" s="580"/>
      <c r="DK166" s="580"/>
      <c r="DL166" s="580"/>
      <c r="DM166" s="580"/>
      <c r="DN166" s="579"/>
      <c r="DO166" s="580"/>
      <c r="DP166" s="580"/>
      <c r="DQ166" s="580"/>
      <c r="DR166" s="580"/>
      <c r="DS166" s="579"/>
    </row>
    <row r="167" hidden="1" outlineLevel="1" spans="1:123">
      <c r="B167" s="609" t="s">
        <v>122</v>
      </c>
      <c r="C167" s="579"/>
      <c r="D167" s="580"/>
      <c r="E167" s="580"/>
      <c r="F167" s="580"/>
      <c r="G167" s="580"/>
      <c r="H167" s="579"/>
      <c r="I167" s="580"/>
      <c r="J167" s="580"/>
      <c r="K167" s="580"/>
      <c r="L167" s="580"/>
      <c r="M167" s="579">
        <v>3.8770179</v>
      </c>
      <c r="N167" s="580"/>
      <c r="O167" s="580"/>
      <c r="P167" s="580"/>
      <c r="Q167" s="580"/>
      <c r="R167" s="579">
        <f>M173</f>
        <v>16.028534</v>
      </c>
      <c r="S167" s="580"/>
      <c r="T167" s="580"/>
      <c r="U167" s="580"/>
      <c r="V167" s="580"/>
      <c r="W167" s="579">
        <f>R173</f>
        <v>53.339326</v>
      </c>
      <c r="X167" s="580"/>
      <c r="Y167" s="580"/>
      <c r="Z167" s="580"/>
      <c r="AA167" s="580"/>
      <c r="AB167" s="579">
        <f>W173</f>
        <v>56.797</v>
      </c>
      <c r="AC167" s="580"/>
      <c r="AD167" s="580"/>
      <c r="AE167" s="580"/>
      <c r="AF167" s="580"/>
      <c r="AG167" s="579">
        <v>159.573</v>
      </c>
      <c r="AH167" s="580">
        <f>AG173</f>
        <v>316.286</v>
      </c>
      <c r="AI167" s="580">
        <f>AH167</f>
        <v>316.286</v>
      </c>
      <c r="AJ167" s="580">
        <f>AI167</f>
        <v>316.286</v>
      </c>
      <c r="AK167" s="580">
        <v>316.286</v>
      </c>
      <c r="AL167" s="579">
        <v>316.286</v>
      </c>
      <c r="AM167" s="580">
        <f>AL173</f>
        <v>409.437</v>
      </c>
      <c r="AN167" s="580">
        <f>AM167</f>
        <v>409.437</v>
      </c>
      <c r="AO167" s="580">
        <f>AN167</f>
        <v>409.437</v>
      </c>
      <c r="AP167" s="580">
        <f>AL173</f>
        <v>409.437</v>
      </c>
      <c r="AQ167" s="579">
        <f>AL173</f>
        <v>409.437</v>
      </c>
      <c r="AR167" s="580">
        <f>AQ173</f>
        <v>590.179</v>
      </c>
      <c r="AS167" s="580">
        <f>AR167</f>
        <v>590.179</v>
      </c>
      <c r="AT167" s="580">
        <f>AS167</f>
        <v>590.179</v>
      </c>
      <c r="AU167" s="580">
        <f>AQ173</f>
        <v>590.179</v>
      </c>
      <c r="AV167" s="579">
        <v>590.179</v>
      </c>
      <c r="AW167" s="580">
        <f>AV173</f>
        <v>698.649</v>
      </c>
      <c r="AX167" s="580">
        <f>AW167</f>
        <v>698.649</v>
      </c>
      <c r="AY167" s="580">
        <f>AX167</f>
        <v>698.649</v>
      </c>
      <c r="AZ167" s="580">
        <f>AV173</f>
        <v>698.649</v>
      </c>
      <c r="BA167" s="579">
        <f>AV173</f>
        <v>698.649</v>
      </c>
      <c r="BB167" s="580">
        <f>BA173</f>
        <v>664.479</v>
      </c>
      <c r="BC167" s="580">
        <f>BB167</f>
        <v>664.479</v>
      </c>
      <c r="BD167" s="580">
        <f>BC167</f>
        <v>664.479</v>
      </c>
      <c r="BE167" s="580">
        <f>BA173</f>
        <v>664.479</v>
      </c>
      <c r="BF167" s="579">
        <f>BA173</f>
        <v>664.479</v>
      </c>
      <c r="BG167" s="580">
        <f>BF173</f>
        <v>501.482</v>
      </c>
      <c r="BH167" s="580">
        <f>BG167</f>
        <v>501.482</v>
      </c>
      <c r="BI167" s="580">
        <f>BH167</f>
        <v>501.482</v>
      </c>
      <c r="BJ167" s="580">
        <f>BF173</f>
        <v>501.482</v>
      </c>
      <c r="BK167" s="579">
        <f>BF173</f>
        <v>501.482</v>
      </c>
      <c r="BL167" s="580">
        <f>BK173</f>
        <v>734.846</v>
      </c>
      <c r="BM167" s="580">
        <f>BL167</f>
        <v>734.846</v>
      </c>
      <c r="BN167" s="580">
        <f>BM167</f>
        <v>734.846</v>
      </c>
      <c r="BO167" s="580">
        <f>BN167</f>
        <v>734.846</v>
      </c>
      <c r="BP167" s="579">
        <f>BK173</f>
        <v>734.846</v>
      </c>
      <c r="BQ167" s="580">
        <f>BP173</f>
        <v>990.501</v>
      </c>
      <c r="BR167" s="580">
        <f>BQ167</f>
        <v>990.501</v>
      </c>
      <c r="BS167" s="580">
        <f>BR167</f>
        <v>990.501</v>
      </c>
      <c r="BT167" s="580">
        <f>BS167</f>
        <v>990.501</v>
      </c>
      <c r="BU167" s="579">
        <f>BP173</f>
        <v>990.501</v>
      </c>
      <c r="BV167" s="580">
        <f>BU173</f>
        <v>881.32</v>
      </c>
      <c r="BW167" s="580">
        <f>BV167</f>
        <v>881.32</v>
      </c>
      <c r="BX167" s="580">
        <f>BW167</f>
        <v>881.32</v>
      </c>
      <c r="BY167" s="580">
        <f>BX167</f>
        <v>881.32</v>
      </c>
      <c r="BZ167" s="579">
        <f>BU173</f>
        <v>881.32</v>
      </c>
      <c r="CA167" s="580">
        <f>BZ173</f>
        <v>1093.505</v>
      </c>
      <c r="CB167" s="580">
        <f>CA167</f>
        <v>1093.505</v>
      </c>
      <c r="CC167" s="580">
        <f>CB167</f>
        <v>1093.505</v>
      </c>
      <c r="CD167" s="580">
        <f>CC167</f>
        <v>1093.505</v>
      </c>
      <c r="CE167" s="579">
        <f>BZ173</f>
        <v>1093.505</v>
      </c>
      <c r="CF167" s="580">
        <f>CE173</f>
        <v>1150.517</v>
      </c>
      <c r="CG167" s="580">
        <f>CE173</f>
        <v>1150.517</v>
      </c>
      <c r="CH167" s="580">
        <f>CE173</f>
        <v>1150.517</v>
      </c>
      <c r="CI167" s="580">
        <f>CE173</f>
        <v>1150.517</v>
      </c>
      <c r="CJ167" s="579">
        <f>CE173</f>
        <v>1150.517</v>
      </c>
      <c r="CK167" s="580">
        <f>CJ173</f>
        <v>1259.871</v>
      </c>
      <c r="CL167" s="580">
        <f>CJ173</f>
        <v>1259.871</v>
      </c>
      <c r="CM167" s="580">
        <f>CJ173</f>
        <v>1259.871</v>
      </c>
      <c r="CN167" s="580">
        <f>CJ173</f>
        <v>1259.871</v>
      </c>
      <c r="CO167" s="579">
        <f>CJ173</f>
        <v>1259.871</v>
      </c>
      <c r="CP167" s="580">
        <f>CO173</f>
        <v>1154.867</v>
      </c>
      <c r="CQ167" s="580">
        <f>CO173</f>
        <v>1154.867</v>
      </c>
      <c r="CR167" s="580">
        <f>CO173</f>
        <v>1154.867</v>
      </c>
      <c r="CS167" s="580">
        <f>CO173</f>
        <v>1154.867</v>
      </c>
      <c r="CT167" s="579">
        <f>CO173</f>
        <v>1154.867</v>
      </c>
      <c r="CU167" s="580">
        <f>CT173</f>
        <v>2243.971</v>
      </c>
      <c r="CV167" s="580">
        <f>CT173</f>
        <v>2243.971</v>
      </c>
      <c r="CW167" s="580">
        <f>CT173</f>
        <v>2243.971</v>
      </c>
      <c r="CX167" s="580">
        <f>CT173</f>
        <v>2243.971</v>
      </c>
      <c r="CY167" s="579">
        <f>CT173</f>
        <v>2243.971</v>
      </c>
      <c r="CZ167" s="580">
        <f>CY173</f>
        <v>1984.336</v>
      </c>
      <c r="DA167" s="580">
        <f>CY173</f>
        <v>1984.336</v>
      </c>
      <c r="DB167" s="580">
        <f>CY173</f>
        <v>1984.336</v>
      </c>
      <c r="DC167" s="580">
        <f>CY173</f>
        <v>1984.336</v>
      </c>
      <c r="DD167" s="579">
        <f>CY173</f>
        <v>1984.336</v>
      </c>
      <c r="DE167" s="580">
        <f>DD173</f>
        <v>1807.202</v>
      </c>
      <c r="DF167" s="580">
        <f>DD173</f>
        <v>1807.202</v>
      </c>
      <c r="DG167" s="580"/>
      <c r="DH167" s="580"/>
      <c r="DI167" s="579"/>
      <c r="DJ167" s="580"/>
      <c r="DK167" s="580"/>
      <c r="DL167" s="580"/>
      <c r="DM167" s="580"/>
      <c r="DN167" s="579"/>
      <c r="DO167" s="580"/>
      <c r="DP167" s="580"/>
      <c r="DQ167" s="580"/>
      <c r="DR167" s="580"/>
      <c r="DS167" s="579"/>
    </row>
    <row r="168" hidden="1" outlineLevel="1" spans="1:123">
      <c r="B168" s="609" t="s">
        <v>123</v>
      </c>
      <c r="C168" s="579"/>
      <c r="D168" s="580"/>
      <c r="E168" s="580"/>
      <c r="F168" s="580"/>
      <c r="G168" s="580"/>
      <c r="H168" s="579"/>
      <c r="I168" s="580"/>
      <c r="J168" s="580"/>
      <c r="K168" s="580"/>
      <c r="L168" s="580"/>
      <c r="M168" s="579">
        <v>16.028534</v>
      </c>
      <c r="N168" s="580"/>
      <c r="O168" s="580"/>
      <c r="P168" s="580"/>
      <c r="Q168" s="580"/>
      <c r="R168" s="579">
        <f>R165+R167</f>
        <v>53.339372</v>
      </c>
      <c r="S168" s="580"/>
      <c r="T168" s="580"/>
      <c r="U168" s="580"/>
      <c r="V168" s="580"/>
      <c r="W168" s="579">
        <f>W165+W167</f>
        <v>56.791336</v>
      </c>
      <c r="X168" s="580"/>
      <c r="Y168" s="580"/>
      <c r="Z168" s="580"/>
      <c r="AA168" s="580"/>
      <c r="AB168" s="579">
        <f>AB165+AB167</f>
        <v>159.573</v>
      </c>
      <c r="AC168" s="580"/>
      <c r="AD168" s="580"/>
      <c r="AE168" s="580"/>
      <c r="AF168" s="580"/>
      <c r="AG168" s="579">
        <f t="shared" ref="AG168:BO168" si="430">AG167+AG165</f>
        <v>316.286</v>
      </c>
      <c r="AH168" s="580">
        <f t="shared" si="430"/>
        <v>260.871</v>
      </c>
      <c r="AI168" s="580">
        <f t="shared" si="430"/>
        <v>264.728</v>
      </c>
      <c r="AJ168" s="580">
        <f t="shared" si="430"/>
        <v>276.945</v>
      </c>
      <c r="AK168" s="580">
        <f t="shared" si="430"/>
        <v>409.437</v>
      </c>
      <c r="AL168" s="579">
        <f t="shared" si="430"/>
        <v>409.437</v>
      </c>
      <c r="AM168" s="580">
        <f t="shared" si="430"/>
        <v>424.33</v>
      </c>
      <c r="AN168" s="580">
        <f t="shared" si="430"/>
        <v>444.286</v>
      </c>
      <c r="AO168" s="580">
        <f t="shared" si="430"/>
        <v>439.423</v>
      </c>
      <c r="AP168" s="580">
        <f t="shared" si="430"/>
        <v>590.179</v>
      </c>
      <c r="AQ168" s="579">
        <f t="shared" si="430"/>
        <v>590.179</v>
      </c>
      <c r="AR168" s="580">
        <f t="shared" si="430"/>
        <v>588.418</v>
      </c>
      <c r="AS168" s="580">
        <f t="shared" si="430"/>
        <v>610.274</v>
      </c>
      <c r="AT168" s="580">
        <f t="shared" si="430"/>
        <v>600.746</v>
      </c>
      <c r="AU168" s="580">
        <f t="shared" si="430"/>
        <v>698.649</v>
      </c>
      <c r="AV168" s="579">
        <f t="shared" si="430"/>
        <v>698.649</v>
      </c>
      <c r="AW168" s="580">
        <f t="shared" si="430"/>
        <v>751.959</v>
      </c>
      <c r="AX168" s="580">
        <f t="shared" si="430"/>
        <v>725.053</v>
      </c>
      <c r="AY168" s="580">
        <f t="shared" si="430"/>
        <v>633.534</v>
      </c>
      <c r="AZ168" s="580">
        <f t="shared" si="430"/>
        <v>664.479</v>
      </c>
      <c r="BA168" s="579">
        <f t="shared" si="430"/>
        <v>664.479</v>
      </c>
      <c r="BB168" s="580">
        <f t="shared" si="430"/>
        <v>655.881</v>
      </c>
      <c r="BC168" s="580">
        <f t="shared" si="430"/>
        <v>541.262</v>
      </c>
      <c r="BD168" s="580">
        <f t="shared" si="430"/>
        <v>403.439</v>
      </c>
      <c r="BE168" s="580">
        <f t="shared" si="430"/>
        <v>501.475</v>
      </c>
      <c r="BF168" s="579">
        <f t="shared" si="430"/>
        <v>501.482</v>
      </c>
      <c r="BG168" s="580">
        <f t="shared" si="430"/>
        <v>550.046</v>
      </c>
      <c r="BH168" s="580">
        <f t="shared" si="430"/>
        <v>535.35</v>
      </c>
      <c r="BI168" s="580">
        <f t="shared" si="430"/>
        <v>480.386</v>
      </c>
      <c r="BJ168" s="580">
        <f t="shared" si="430"/>
        <v>734.853583385339</v>
      </c>
      <c r="BK168" s="579">
        <f t="shared" si="430"/>
        <v>734.846</v>
      </c>
      <c r="BL168" s="580">
        <f t="shared" si="430"/>
        <v>698.289</v>
      </c>
      <c r="BM168" s="580">
        <f t="shared" si="430"/>
        <v>721.212</v>
      </c>
      <c r="BN168" s="580">
        <f t="shared" si="430"/>
        <v>650.07</v>
      </c>
      <c r="BO168" s="580">
        <f t="shared" si="430"/>
        <v>990.517</v>
      </c>
      <c r="BP168" s="579">
        <f t="shared" ref="BP168:BZ168" si="431">BP167+BP165</f>
        <v>990.5</v>
      </c>
      <c r="BQ168" s="580">
        <f t="shared" si="431"/>
        <v>966.571</v>
      </c>
      <c r="BR168" s="580">
        <f t="shared" si="431"/>
        <v>777.841</v>
      </c>
      <c r="BS168" s="580">
        <f t="shared" si="431"/>
        <v>703.607</v>
      </c>
      <c r="BT168" s="580">
        <f t="shared" si="431"/>
        <v>881.32</v>
      </c>
      <c r="BU168" s="579">
        <f t="shared" si="431"/>
        <v>881.32</v>
      </c>
      <c r="BV168" s="580">
        <f t="shared" si="431"/>
        <v>576.241</v>
      </c>
      <c r="BW168" s="580">
        <f t="shared" si="431"/>
        <v>623.738</v>
      </c>
      <c r="BX168" s="580">
        <f t="shared" si="431"/>
        <v>586.153</v>
      </c>
      <c r="BY168" s="580">
        <f t="shared" si="431"/>
        <v>1093.505</v>
      </c>
      <c r="BZ168" s="579">
        <f t="shared" si="431"/>
        <v>1093.505</v>
      </c>
      <c r="CA168" s="580">
        <f t="shared" ref="CA168:CV168" si="432">CA167+CA165</f>
        <v>823.006</v>
      </c>
      <c r="CB168" s="580">
        <f t="shared" si="432"/>
        <v>522.998</v>
      </c>
      <c r="CC168" s="580">
        <f t="shared" si="432"/>
        <v>481.581</v>
      </c>
      <c r="CD168" s="580">
        <f t="shared" si="432"/>
        <v>1150.517</v>
      </c>
      <c r="CE168" s="579">
        <f t="shared" si="432"/>
        <v>1150.517</v>
      </c>
      <c r="CF168" s="580">
        <f t="shared" si="432"/>
        <v>1179.739</v>
      </c>
      <c r="CG168" s="580">
        <f t="shared" si="432"/>
        <v>1170.041</v>
      </c>
      <c r="CH168" s="580">
        <f t="shared" si="432"/>
        <v>993.591</v>
      </c>
      <c r="CI168" s="580">
        <f t="shared" si="432"/>
        <v>1259.871</v>
      </c>
      <c r="CJ168" s="579">
        <f t="shared" si="432"/>
        <v>1259.871</v>
      </c>
      <c r="CK168" s="580">
        <f t="shared" si="432"/>
        <v>649.016</v>
      </c>
      <c r="CL168" s="580">
        <f t="shared" si="432"/>
        <v>498.831</v>
      </c>
      <c r="CM168" s="580">
        <f t="shared" si="432"/>
        <v>352.624</v>
      </c>
      <c r="CN168" s="580">
        <f t="shared" si="432"/>
        <v>1154.867</v>
      </c>
      <c r="CO168" s="579">
        <f t="shared" si="432"/>
        <v>1154.867</v>
      </c>
      <c r="CP168" s="580">
        <f t="shared" si="432"/>
        <v>950.607</v>
      </c>
      <c r="CQ168" s="580">
        <f t="shared" si="432"/>
        <v>1107.53</v>
      </c>
      <c r="CR168" s="580">
        <f t="shared" si="432"/>
        <v>1091.138</v>
      </c>
      <c r="CS168" s="580">
        <f t="shared" si="432"/>
        <v>2243.971</v>
      </c>
      <c r="CT168" s="579">
        <f t="shared" si="432"/>
        <v>2243.971</v>
      </c>
      <c r="CU168" s="580">
        <f t="shared" si="432"/>
        <v>1900.672</v>
      </c>
      <c r="CV168" s="580">
        <f t="shared" si="432"/>
        <v>1610.112</v>
      </c>
      <c r="CW168" s="580">
        <f t="shared" ref="CW168:CX168" si="433">CW167+CW165</f>
        <v>1188.419</v>
      </c>
      <c r="CX168" s="580">
        <f t="shared" si="433"/>
        <v>1984.336</v>
      </c>
      <c r="CY168" s="579">
        <f t="shared" ref="CY168:DC168" si="434">CY167+CY165</f>
        <v>1984.336</v>
      </c>
      <c r="CZ168" s="580">
        <f t="shared" si="434"/>
        <v>1325.272</v>
      </c>
      <c r="DA168" s="580">
        <f t="shared" si="434"/>
        <v>1155.794</v>
      </c>
      <c r="DB168" s="580">
        <f t="shared" si="434"/>
        <v>1035.832</v>
      </c>
      <c r="DC168" s="580">
        <f t="shared" si="434"/>
        <v>1807.202</v>
      </c>
      <c r="DD168" s="579">
        <f t="shared" ref="DD168:DF168" si="435">DD167+DD165</f>
        <v>1807.202</v>
      </c>
      <c r="DE168" s="580">
        <f t="shared" si="435"/>
        <v>1514.729</v>
      </c>
      <c r="DF168" s="580">
        <f t="shared" si="435"/>
        <v>1389.737</v>
      </c>
      <c r="DG168" s="580"/>
      <c r="DH168" s="580"/>
      <c r="DI168" s="579"/>
      <c r="DJ168" s="580"/>
      <c r="DK168" s="580"/>
      <c r="DL168" s="580"/>
      <c r="DM168" s="580"/>
      <c r="DN168" s="579"/>
      <c r="DO168" s="580"/>
      <c r="DP168" s="580"/>
      <c r="DQ168" s="580"/>
      <c r="DR168" s="580"/>
      <c r="DS168" s="579"/>
    </row>
    <row r="169" s="86" customFormat="1" hidden="1" outlineLevel="1" spans="1:123">
      <c r="A169" s="169"/>
      <c r="B169" s="616" t="s">
        <v>124</v>
      </c>
      <c r="C169" s="617"/>
      <c r="D169" s="618"/>
      <c r="E169" s="618"/>
      <c r="F169" s="618"/>
      <c r="G169" s="618"/>
      <c r="H169" s="617"/>
      <c r="I169" s="618"/>
      <c r="J169" s="618"/>
      <c r="K169" s="618"/>
      <c r="L169" s="618"/>
      <c r="M169" s="617">
        <f>M168-M173</f>
        <v>0</v>
      </c>
      <c r="N169" s="618"/>
      <c r="O169" s="618"/>
      <c r="P169" s="618"/>
      <c r="Q169" s="618"/>
      <c r="R169" s="617">
        <f>R168-R173</f>
        <v>4.60000000117589e-5</v>
      </c>
      <c r="S169" s="618"/>
      <c r="T169" s="618"/>
      <c r="U169" s="618"/>
      <c r="V169" s="618"/>
      <c r="W169" s="617">
        <f>W168-W173</f>
        <v>-0.005664000000003</v>
      </c>
      <c r="X169" s="618"/>
      <c r="Y169" s="618"/>
      <c r="Z169" s="618"/>
      <c r="AA169" s="618"/>
      <c r="AB169" s="617">
        <f>AB168-AB173</f>
        <v>0</v>
      </c>
      <c r="AC169" s="618"/>
      <c r="AD169" s="618"/>
      <c r="AE169" s="618"/>
      <c r="AF169" s="618"/>
      <c r="AG169" s="617">
        <f>AG168-AG173</f>
        <v>0</v>
      </c>
      <c r="AH169" s="618">
        <f t="shared" ref="AH169:BO169" si="436">AH168-AH173</f>
        <v>0</v>
      </c>
      <c r="AI169" s="618">
        <f t="shared" si="436"/>
        <v>0</v>
      </c>
      <c r="AJ169" s="618">
        <f t="shared" si="436"/>
        <v>-0.0010000000000332</v>
      </c>
      <c r="AK169" s="618">
        <f t="shared" si="436"/>
        <v>0</v>
      </c>
      <c r="AL169" s="617">
        <f t="shared" si="436"/>
        <v>0</v>
      </c>
      <c r="AM169" s="618">
        <f t="shared" si="436"/>
        <v>0</v>
      </c>
      <c r="AN169" s="618">
        <f t="shared" si="436"/>
        <v>0</v>
      </c>
      <c r="AO169" s="618">
        <f t="shared" si="436"/>
        <v>0</v>
      </c>
      <c r="AP169" s="618">
        <f t="shared" si="436"/>
        <v>0</v>
      </c>
      <c r="AQ169" s="617">
        <f t="shared" si="436"/>
        <v>0</v>
      </c>
      <c r="AR169" s="618">
        <f t="shared" si="436"/>
        <v>0</v>
      </c>
      <c r="AS169" s="618">
        <f t="shared" si="436"/>
        <v>0.000999999999976353</v>
      </c>
      <c r="AT169" s="618">
        <f t="shared" si="436"/>
        <v>0.000999999999976353</v>
      </c>
      <c r="AU169" s="618">
        <f t="shared" si="436"/>
        <v>0</v>
      </c>
      <c r="AV169" s="617">
        <f t="shared" si="436"/>
        <v>0</v>
      </c>
      <c r="AW169" s="618">
        <f t="shared" si="436"/>
        <v>-0.00599999999997181</v>
      </c>
      <c r="AX169" s="618">
        <f t="shared" si="436"/>
        <v>-0.0199999999999818</v>
      </c>
      <c r="AY169" s="618">
        <f t="shared" si="436"/>
        <v>-0.0480000000000018</v>
      </c>
      <c r="AZ169" s="618">
        <f t="shared" si="436"/>
        <v>0</v>
      </c>
      <c r="BA169" s="617">
        <f t="shared" si="436"/>
        <v>0</v>
      </c>
      <c r="BB169" s="618">
        <f t="shared" si="436"/>
        <v>0</v>
      </c>
      <c r="BC169" s="618">
        <f t="shared" si="436"/>
        <v>0</v>
      </c>
      <c r="BD169" s="618">
        <f t="shared" si="436"/>
        <v>-0.00699999999994816</v>
      </c>
      <c r="BE169" s="618">
        <f t="shared" si="436"/>
        <v>-0.00699999999983447</v>
      </c>
      <c r="BF169" s="617">
        <f t="shared" si="436"/>
        <v>0</v>
      </c>
      <c r="BG169" s="619">
        <f t="shared" si="436"/>
        <v>0</v>
      </c>
      <c r="BH169" s="618">
        <f t="shared" si="436"/>
        <v>0</v>
      </c>
      <c r="BI169" s="620">
        <f t="shared" si="436"/>
        <v>0</v>
      </c>
      <c r="BJ169" s="618">
        <f t="shared" si="436"/>
        <v>0.00758338533864844</v>
      </c>
      <c r="BK169" s="617">
        <f t="shared" si="436"/>
        <v>0</v>
      </c>
      <c r="BL169" s="618">
        <f t="shared" si="436"/>
        <v>0</v>
      </c>
      <c r="BM169" s="619">
        <f t="shared" si="436"/>
        <v>0</v>
      </c>
      <c r="BN169" s="618">
        <f t="shared" si="436"/>
        <v>0.0160000000003038</v>
      </c>
      <c r="BO169" s="618">
        <f t="shared" si="436"/>
        <v>0.0160000000004175</v>
      </c>
      <c r="BP169" s="617">
        <f t="shared" ref="BP169:BZ169" si="437">BP168-BP173</f>
        <v>-0.000999999999748979</v>
      </c>
      <c r="BQ169" s="618">
        <f t="shared" si="437"/>
        <v>0</v>
      </c>
      <c r="BR169" s="618">
        <f t="shared" si="437"/>
        <v>0</v>
      </c>
      <c r="BS169" s="618">
        <f t="shared" si="437"/>
        <v>0</v>
      </c>
      <c r="BT169" s="618">
        <f t="shared" si="437"/>
        <v>0</v>
      </c>
      <c r="BU169" s="617">
        <f t="shared" si="437"/>
        <v>0</v>
      </c>
      <c r="BV169" s="618">
        <f t="shared" si="437"/>
        <v>0</v>
      </c>
      <c r="BW169" s="618">
        <f t="shared" si="437"/>
        <v>0</v>
      </c>
      <c r="BX169" s="618">
        <f t="shared" si="437"/>
        <v>0</v>
      </c>
      <c r="BY169" s="618">
        <f t="shared" si="437"/>
        <v>0</v>
      </c>
      <c r="BZ169" s="617">
        <f t="shared" si="437"/>
        <v>0</v>
      </c>
      <c r="CA169" s="618">
        <f t="shared" ref="CA169:CV169" si="438">CA168-CA173</f>
        <v>0</v>
      </c>
      <c r="CB169" s="620">
        <f t="shared" si="438"/>
        <v>0</v>
      </c>
      <c r="CC169" s="618">
        <f t="shared" si="438"/>
        <v>0</v>
      </c>
      <c r="CD169" s="618">
        <f t="shared" si="438"/>
        <v>0</v>
      </c>
      <c r="CE169" s="617">
        <f t="shared" si="438"/>
        <v>0</v>
      </c>
      <c r="CF169" s="618">
        <f t="shared" si="438"/>
        <v>0</v>
      </c>
      <c r="CG169" s="618">
        <f t="shared" si="438"/>
        <v>0</v>
      </c>
      <c r="CH169" s="618">
        <f t="shared" si="438"/>
        <v>0</v>
      </c>
      <c r="CI169" s="618">
        <f t="shared" si="438"/>
        <v>0</v>
      </c>
      <c r="CJ169" s="617">
        <f t="shared" si="438"/>
        <v>0</v>
      </c>
      <c r="CK169" s="618">
        <f t="shared" si="438"/>
        <v>0</v>
      </c>
      <c r="CL169" s="618">
        <f t="shared" si="438"/>
        <v>0</v>
      </c>
      <c r="CM169" s="618">
        <f t="shared" si="438"/>
        <v>0</v>
      </c>
      <c r="CN169" s="618">
        <f t="shared" si="438"/>
        <v>0</v>
      </c>
      <c r="CO169" s="617">
        <f t="shared" si="438"/>
        <v>0</v>
      </c>
      <c r="CP169" s="618">
        <f t="shared" si="438"/>
        <v>0</v>
      </c>
      <c r="CQ169" s="618">
        <f t="shared" si="438"/>
        <v>0</v>
      </c>
      <c r="CR169" s="618">
        <f t="shared" si="438"/>
        <v>0</v>
      </c>
      <c r="CS169" s="618">
        <f t="shared" si="438"/>
        <v>0</v>
      </c>
      <c r="CT169" s="617">
        <f t="shared" si="438"/>
        <v>0</v>
      </c>
      <c r="CU169" s="618">
        <f t="shared" si="438"/>
        <v>0</v>
      </c>
      <c r="CV169" s="618">
        <f t="shared" si="438"/>
        <v>0</v>
      </c>
      <c r="CW169" s="618">
        <f t="shared" ref="CW169:CX169" si="439">CW168-CW173</f>
        <v>0</v>
      </c>
      <c r="CX169" s="618">
        <f t="shared" si="439"/>
        <v>0</v>
      </c>
      <c r="CY169" s="617">
        <f t="shared" ref="CY169:DC169" si="440">CY168-CY173</f>
        <v>0</v>
      </c>
      <c r="CZ169" s="618">
        <f t="shared" si="440"/>
        <v>0</v>
      </c>
      <c r="DA169" s="618">
        <f t="shared" si="440"/>
        <v>0</v>
      </c>
      <c r="DB169" s="618">
        <f t="shared" si="440"/>
        <v>-0.0300000000002001</v>
      </c>
      <c r="DC169" s="618">
        <f t="shared" si="440"/>
        <v>0</v>
      </c>
      <c r="DD169" s="617">
        <f t="shared" ref="DD169:DF169" si="441">DD168-DD173</f>
        <v>0</v>
      </c>
      <c r="DE169" s="618">
        <f t="shared" si="441"/>
        <v>0</v>
      </c>
      <c r="DF169" s="618">
        <f t="shared" si="441"/>
        <v>0</v>
      </c>
      <c r="DG169" s="618"/>
      <c r="DH169" s="618"/>
      <c r="DI169" s="617"/>
      <c r="DJ169" s="618"/>
      <c r="DK169" s="618"/>
      <c r="DL169" s="618"/>
      <c r="DM169" s="618"/>
      <c r="DN169" s="617"/>
      <c r="DO169" s="618"/>
      <c r="DP169" s="618"/>
      <c r="DQ169" s="618"/>
      <c r="DR169" s="618"/>
      <c r="DS169" s="617"/>
    </row>
    <row r="170" collapsed="1" spans="1:123">
      <c r="B170" s="621"/>
      <c r="C170" s="622"/>
      <c r="D170" s="622"/>
      <c r="E170" s="622"/>
      <c r="F170" s="622"/>
      <c r="G170" s="622"/>
      <c r="H170" s="622"/>
      <c r="I170" s="622"/>
      <c r="J170" s="622"/>
      <c r="K170" s="622"/>
      <c r="L170" s="622"/>
      <c r="M170" s="622"/>
      <c r="N170" s="622"/>
      <c r="O170" s="622"/>
      <c r="P170" s="622"/>
      <c r="Q170" s="622"/>
      <c r="R170" s="622"/>
      <c r="S170" s="622"/>
      <c r="T170" s="622"/>
      <c r="U170" s="622"/>
      <c r="V170" s="622"/>
      <c r="W170" s="622"/>
      <c r="X170" s="622"/>
      <c r="Y170" s="622"/>
      <c r="Z170" s="622"/>
      <c r="AA170" s="622"/>
      <c r="AB170" s="622"/>
      <c r="AC170" s="622"/>
      <c r="AD170" s="622"/>
      <c r="AE170" s="622"/>
      <c r="AF170" s="622"/>
      <c r="AG170" s="622"/>
      <c r="AH170" s="622"/>
      <c r="AI170" s="622"/>
      <c r="AJ170" s="622"/>
      <c r="AK170" s="622"/>
      <c r="AL170" s="622"/>
      <c r="AM170" s="622"/>
      <c r="AN170" s="622"/>
      <c r="AO170" s="622"/>
      <c r="AP170" s="622"/>
      <c r="AQ170" s="622"/>
      <c r="AR170" s="622"/>
      <c r="AS170" s="622"/>
      <c r="AT170" s="622"/>
      <c r="AU170" s="622"/>
      <c r="AV170" s="622"/>
      <c r="AW170" s="622"/>
      <c r="AX170" s="622"/>
      <c r="AY170" s="622"/>
      <c r="AZ170" s="622"/>
      <c r="BA170" s="622"/>
      <c r="BB170" s="622"/>
      <c r="BC170" s="622"/>
      <c r="BD170" s="622"/>
      <c r="BE170" s="622"/>
      <c r="BF170" s="622"/>
      <c r="BG170" s="622"/>
      <c r="BH170" s="622"/>
      <c r="BI170" s="622"/>
      <c r="BJ170" s="622"/>
      <c r="BK170" s="622"/>
      <c r="BL170" s="622"/>
      <c r="BM170" s="622"/>
      <c r="BN170" s="622"/>
      <c r="BO170" s="622"/>
      <c r="BP170" s="622"/>
      <c r="BQ170" s="587"/>
      <c r="BR170" s="587"/>
      <c r="BS170" s="587"/>
      <c r="BT170" s="622"/>
      <c r="BU170" s="622"/>
      <c r="BV170" s="622"/>
      <c r="BW170" s="622"/>
      <c r="BX170" s="622"/>
      <c r="BY170" s="622"/>
      <c r="BZ170" s="622"/>
      <c r="CA170" s="622"/>
      <c r="CB170" s="622"/>
      <c r="CC170" s="622"/>
      <c r="CD170" s="622"/>
      <c r="CE170" s="622"/>
      <c r="CF170" s="622"/>
      <c r="CG170" s="622"/>
      <c r="CH170" s="622"/>
      <c r="CI170" s="622"/>
      <c r="CJ170" s="622"/>
      <c r="CK170" s="622"/>
      <c r="CL170" s="622"/>
      <c r="CM170" s="622"/>
      <c r="CN170" s="622"/>
      <c r="CO170" s="622"/>
      <c r="CP170" s="622"/>
      <c r="CQ170" s="622"/>
      <c r="CR170" s="622"/>
      <c r="CS170" s="622"/>
      <c r="CT170" s="622"/>
      <c r="CU170" s="622"/>
      <c r="CV170" s="622"/>
      <c r="CW170" s="622"/>
      <c r="CX170" s="622"/>
      <c r="CY170" s="622"/>
      <c r="CZ170" s="622"/>
      <c r="DA170" s="622"/>
      <c r="DB170" s="622"/>
      <c r="DC170" s="622"/>
      <c r="DD170" s="622"/>
      <c r="DE170" s="622"/>
      <c r="DF170" s="622"/>
      <c r="DG170" s="622"/>
      <c r="DH170" s="622"/>
      <c r="DI170" s="622"/>
      <c r="DJ170" s="622"/>
      <c r="DK170" s="622"/>
      <c r="DL170" s="622"/>
      <c r="DM170" s="622"/>
      <c r="DN170" s="622"/>
      <c r="DO170" s="622"/>
      <c r="DP170" s="622"/>
      <c r="DQ170" s="622"/>
      <c r="DR170" s="622"/>
      <c r="DS170" s="623"/>
    </row>
    <row r="171" spans="1:123">
      <c r="B171" s="112" t="s">
        <v>127</v>
      </c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90"/>
      <c r="O171" s="590"/>
      <c r="P171" s="590"/>
      <c r="Q171" s="590"/>
      <c r="R171" s="589"/>
      <c r="S171" s="590"/>
      <c r="T171" s="590"/>
      <c r="U171" s="590"/>
      <c r="V171" s="590"/>
      <c r="W171" s="589"/>
      <c r="X171" s="590"/>
      <c r="Y171" s="590"/>
      <c r="Z171" s="590"/>
      <c r="AA171" s="590"/>
      <c r="AB171" s="589"/>
      <c r="AC171" s="590"/>
      <c r="AD171" s="590"/>
      <c r="AE171" s="590"/>
      <c r="AF171" s="590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589"/>
      <c r="AQ171" s="589"/>
      <c r="AR171" s="589"/>
      <c r="AS171" s="589"/>
      <c r="AT171" s="589"/>
      <c r="AU171" s="589"/>
      <c r="AV171" s="589"/>
      <c r="AW171" s="589"/>
      <c r="AX171" s="589"/>
      <c r="AY171" s="589"/>
      <c r="AZ171" s="589"/>
      <c r="BA171" s="589"/>
      <c r="BB171" s="589"/>
      <c r="BC171" s="589"/>
      <c r="BD171" s="589"/>
      <c r="BE171" s="589"/>
      <c r="BF171" s="589"/>
      <c r="BG171" s="589"/>
      <c r="BH171" s="589"/>
      <c r="BI171" s="589"/>
      <c r="BJ171" s="589"/>
      <c r="BK171" s="589"/>
      <c r="BL171" s="589"/>
      <c r="BM171" s="589"/>
      <c r="BN171" s="589"/>
      <c r="BO171" s="589"/>
      <c r="BP171" s="589"/>
      <c r="BQ171" s="624"/>
      <c r="BR171" s="624"/>
      <c r="BS171" s="624"/>
      <c r="BT171" s="590"/>
      <c r="BU171" s="589"/>
      <c r="BV171" s="590"/>
      <c r="BW171" s="590"/>
      <c r="BX171" s="590"/>
      <c r="BY171" s="590"/>
      <c r="BZ171" s="589"/>
      <c r="CA171" s="590"/>
      <c r="CB171" s="590"/>
      <c r="CC171" s="590"/>
      <c r="CD171" s="590"/>
      <c r="CE171" s="589"/>
      <c r="CF171" s="590"/>
      <c r="CG171" s="590"/>
      <c r="CH171" s="590"/>
      <c r="CI171" s="590"/>
      <c r="CJ171" s="589"/>
      <c r="CK171" s="590"/>
      <c r="CL171" s="590"/>
      <c r="CM171" s="590"/>
      <c r="CN171" s="590"/>
      <c r="CO171" s="589"/>
      <c r="CP171" s="590"/>
      <c r="CQ171" s="590"/>
      <c r="CR171" s="590"/>
      <c r="CS171" s="590"/>
      <c r="CT171" s="589"/>
      <c r="CU171" s="590"/>
      <c r="CV171" s="590"/>
      <c r="CW171" s="590"/>
      <c r="CX171" s="590"/>
      <c r="CY171" s="589"/>
      <c r="CZ171" s="590"/>
      <c r="DA171" s="590"/>
      <c r="DB171" s="590"/>
      <c r="DC171" s="590"/>
      <c r="DD171" s="625"/>
      <c r="DE171" s="626"/>
      <c r="DF171" s="590"/>
      <c r="DG171" s="590"/>
      <c r="DH171" s="590"/>
      <c r="DI171" s="625"/>
      <c r="DJ171" s="626"/>
      <c r="DK171" s="590"/>
      <c r="DL171" s="590"/>
      <c r="DM171" s="590"/>
      <c r="DN171" s="589"/>
      <c r="DO171" s="590"/>
      <c r="DP171" s="590"/>
      <c r="DQ171" s="590"/>
      <c r="DR171" s="590"/>
      <c r="DS171" s="593"/>
    </row>
    <row r="172" spans="1:123">
      <c r="A172" s="132"/>
      <c r="B172" s="227"/>
      <c r="C172" s="131"/>
      <c r="D172" s="132"/>
      <c r="E172" s="132"/>
      <c r="F172" s="132"/>
      <c r="G172" s="132"/>
      <c r="H172" s="131"/>
      <c r="I172" s="132"/>
      <c r="J172" s="132"/>
      <c r="K172" s="132"/>
      <c r="L172" s="132"/>
      <c r="M172" s="131"/>
      <c r="N172" s="190"/>
      <c r="O172" s="190"/>
      <c r="P172" s="190"/>
      <c r="Q172" s="190"/>
      <c r="R172" s="131"/>
      <c r="S172" s="190"/>
      <c r="T172" s="190"/>
      <c r="U172" s="190"/>
      <c r="V172" s="190"/>
      <c r="W172" s="131"/>
      <c r="X172" s="190"/>
      <c r="Y172" s="190"/>
      <c r="Z172" s="190"/>
      <c r="AA172" s="190"/>
      <c r="AB172" s="131"/>
      <c r="AC172" s="190"/>
      <c r="AD172" s="190"/>
      <c r="AE172" s="190"/>
      <c r="AF172" s="190"/>
      <c r="AG172" s="131"/>
      <c r="AH172" s="132"/>
      <c r="AI172" s="132"/>
      <c r="AJ172" s="132"/>
      <c r="AK172" s="132"/>
      <c r="AL172" s="131"/>
      <c r="AM172" s="132"/>
      <c r="AN172" s="132"/>
      <c r="AO172" s="132"/>
      <c r="AP172" s="132"/>
      <c r="AQ172" s="131"/>
      <c r="AR172" s="132"/>
      <c r="AS172" s="132"/>
      <c r="AT172" s="132"/>
      <c r="AU172" s="132"/>
      <c r="AV172" s="131"/>
      <c r="AW172" s="132"/>
      <c r="AX172" s="132"/>
      <c r="AY172" s="132"/>
      <c r="AZ172" s="132"/>
      <c r="BA172" s="131"/>
      <c r="BB172" s="132"/>
      <c r="BC172" s="132"/>
      <c r="BD172" s="132"/>
      <c r="BE172" s="132"/>
      <c r="BF172" s="131"/>
      <c r="BG172" s="132"/>
      <c r="BH172" s="132"/>
      <c r="BI172" s="132"/>
      <c r="BJ172" s="132"/>
      <c r="BK172" s="131"/>
      <c r="BL172" s="132"/>
      <c r="BM172" s="132"/>
      <c r="BN172" s="132"/>
      <c r="BO172" s="132"/>
      <c r="BP172" s="131"/>
      <c r="BQ172" s="627"/>
      <c r="BR172" s="627"/>
      <c r="BS172" s="627"/>
      <c r="BT172" s="190"/>
      <c r="BU172" s="628"/>
      <c r="BV172" s="190"/>
      <c r="BW172" s="190"/>
      <c r="BX172" s="190"/>
      <c r="BY172" s="190"/>
      <c r="BZ172" s="628"/>
      <c r="CA172" s="190"/>
      <c r="CB172" s="190"/>
      <c r="CC172" s="190"/>
      <c r="CD172" s="190"/>
      <c r="CE172" s="628"/>
      <c r="CF172" s="190"/>
      <c r="CG172" s="190"/>
      <c r="CH172" s="190"/>
      <c r="CI172" s="190"/>
      <c r="CJ172" s="628"/>
      <c r="CK172" s="190"/>
      <c r="CL172" s="190"/>
      <c r="CM172" s="190"/>
      <c r="CN172" s="190"/>
      <c r="CO172" s="628"/>
      <c r="CP172" s="190"/>
      <c r="CQ172" s="190"/>
      <c r="CR172" s="190"/>
      <c r="CS172" s="190"/>
      <c r="CT172" s="628"/>
      <c r="CU172" s="190"/>
      <c r="CV172" s="190"/>
      <c r="CW172" s="190"/>
      <c r="CX172" s="190"/>
      <c r="CY172" s="628"/>
      <c r="CZ172" s="190"/>
      <c r="DA172" s="190"/>
      <c r="DB172" s="190"/>
      <c r="DC172" s="190"/>
      <c r="DD172" s="628"/>
      <c r="DE172" s="190"/>
      <c r="DF172" s="190"/>
      <c r="DG172" s="190"/>
      <c r="DH172" s="190"/>
      <c r="DI172" s="628"/>
      <c r="DJ172" s="190"/>
      <c r="DK172" s="190"/>
      <c r="DL172" s="190"/>
      <c r="DM172" s="190"/>
      <c r="DN172" s="628"/>
      <c r="DO172" s="190"/>
      <c r="DP172" s="190"/>
      <c r="DQ172" s="190"/>
      <c r="DR172" s="190"/>
      <c r="DS172" s="628"/>
    </row>
    <row r="173" spans="1:123">
      <c r="B173" s="198" t="s">
        <v>128</v>
      </c>
      <c r="C173" s="124"/>
      <c r="H173" s="124"/>
      <c r="M173" s="124">
        <v>16.028534</v>
      </c>
      <c r="R173" s="124">
        <v>53.339326</v>
      </c>
      <c r="W173" s="124">
        <v>56.797</v>
      </c>
      <c r="AB173" s="124">
        <v>159.573</v>
      </c>
      <c r="AG173" s="124">
        <v>316.286</v>
      </c>
      <c r="AH173" s="125">
        <v>260.871</v>
      </c>
      <c r="AI173" s="125">
        <v>264.728</v>
      </c>
      <c r="AJ173" s="125">
        <v>276.946</v>
      </c>
      <c r="AK173" s="125">
        <f>AL173</f>
        <v>409.437</v>
      </c>
      <c r="AL173" s="124">
        <v>409.437</v>
      </c>
      <c r="AM173" s="125">
        <v>424.33</v>
      </c>
      <c r="AN173" s="125">
        <v>444.286</v>
      </c>
      <c r="AO173" s="125">
        <v>439.423</v>
      </c>
      <c r="AP173" s="125">
        <f>AQ173</f>
        <v>590.179</v>
      </c>
      <c r="AQ173" s="124">
        <v>590.179</v>
      </c>
      <c r="AR173" s="125">
        <v>588.418</v>
      </c>
      <c r="AS173" s="125">
        <v>610.273</v>
      </c>
      <c r="AT173" s="125">
        <v>600.745</v>
      </c>
      <c r="AU173" s="125">
        <f>AV173</f>
        <v>698.649</v>
      </c>
      <c r="AV173" s="124">
        <v>698.649</v>
      </c>
      <c r="AW173" s="125">
        <v>751.965</v>
      </c>
      <c r="AX173" s="125">
        <v>725.073</v>
      </c>
      <c r="AY173" s="125">
        <v>633.582</v>
      </c>
      <c r="AZ173" s="125">
        <f>BA173</f>
        <v>664.479</v>
      </c>
      <c r="BA173" s="124">
        <v>664.479</v>
      </c>
      <c r="BB173" s="125">
        <v>655.881</v>
      </c>
      <c r="BC173" s="125">
        <v>541.262</v>
      </c>
      <c r="BD173" s="125">
        <v>403.446</v>
      </c>
      <c r="BE173" s="125">
        <f>BF173</f>
        <v>501.482</v>
      </c>
      <c r="BF173" s="124">
        <v>501.482</v>
      </c>
      <c r="BG173" s="125">
        <v>550.046</v>
      </c>
      <c r="BH173" s="125">
        <v>535.35</v>
      </c>
      <c r="BI173" s="125">
        <v>480.386</v>
      </c>
      <c r="BJ173" s="125">
        <f>BK173</f>
        <v>734.846</v>
      </c>
      <c r="BK173" s="124">
        <v>734.846</v>
      </c>
      <c r="BL173" s="125">
        <v>698.289</v>
      </c>
      <c r="BM173" s="125">
        <v>721.212</v>
      </c>
      <c r="BN173" s="125">
        <v>650.054</v>
      </c>
      <c r="BO173" s="125">
        <v>990.501</v>
      </c>
      <c r="BP173" s="124">
        <f>BO173</f>
        <v>990.501</v>
      </c>
      <c r="BQ173" s="125">
        <v>966.571</v>
      </c>
      <c r="BR173" s="172">
        <v>777.841</v>
      </c>
      <c r="BS173" s="125">
        <v>703.607</v>
      </c>
      <c r="BT173" s="125">
        <v>881.32</v>
      </c>
      <c r="BU173" s="124">
        <f>BT173</f>
        <v>881.32</v>
      </c>
      <c r="BV173" s="125">
        <v>576.241</v>
      </c>
      <c r="BW173" s="125">
        <v>623.738</v>
      </c>
      <c r="BX173" s="125">
        <v>586.153</v>
      </c>
      <c r="BY173" s="125">
        <v>1093.505</v>
      </c>
      <c r="BZ173" s="124">
        <f>BY173</f>
        <v>1093.505</v>
      </c>
      <c r="CA173" s="125">
        <v>823.006</v>
      </c>
      <c r="CB173" s="125">
        <v>522.998</v>
      </c>
      <c r="CC173" s="125">
        <v>481.581</v>
      </c>
      <c r="CD173" s="172">
        <v>1150.517</v>
      </c>
      <c r="CE173" s="124">
        <f>CD173</f>
        <v>1150.517</v>
      </c>
      <c r="CF173" s="172">
        <v>1179.739</v>
      </c>
      <c r="CG173" s="125">
        <v>1170.041</v>
      </c>
      <c r="CH173" s="125">
        <v>993.591</v>
      </c>
      <c r="CI173" s="125">
        <v>1259.871</v>
      </c>
      <c r="CJ173" s="127">
        <f>CI173</f>
        <v>1259.871</v>
      </c>
      <c r="CK173" s="126">
        <v>649.016</v>
      </c>
      <c r="CL173" s="126">
        <v>498.831</v>
      </c>
      <c r="CM173" s="126">
        <v>352.624</v>
      </c>
      <c r="CN173" s="126">
        <v>1154.867</v>
      </c>
      <c r="CO173" s="127">
        <f>CN173</f>
        <v>1154.867</v>
      </c>
      <c r="CP173" s="126">
        <v>950.607</v>
      </c>
      <c r="CQ173" s="126">
        <v>1107.53</v>
      </c>
      <c r="CR173" s="128">
        <v>1091.138</v>
      </c>
      <c r="CS173" s="126">
        <v>2243.971</v>
      </c>
      <c r="CT173" s="127">
        <f>CS173</f>
        <v>2243.971</v>
      </c>
      <c r="CU173" s="126">
        <v>1900.672</v>
      </c>
      <c r="CV173" s="128">
        <v>1610.112</v>
      </c>
      <c r="CW173" s="126">
        <v>1188.419</v>
      </c>
      <c r="CX173" s="128">
        <v>1984.336</v>
      </c>
      <c r="CY173" s="127">
        <f>CX173</f>
        <v>1984.336</v>
      </c>
      <c r="CZ173" s="126">
        <v>1325.272</v>
      </c>
      <c r="DA173" s="126">
        <v>1155.794</v>
      </c>
      <c r="DB173" s="126">
        <v>1035.862</v>
      </c>
      <c r="DC173" s="126">
        <v>1807.202</v>
      </c>
      <c r="DD173" s="127">
        <f>DC173</f>
        <v>1807.202</v>
      </c>
      <c r="DE173" s="128">
        <v>1514.729</v>
      </c>
      <c r="DF173" s="126">
        <v>1389.737</v>
      </c>
      <c r="DG173" s="126">
        <f>DG123</f>
        <v>771.25562949517</v>
      </c>
      <c r="DH173" s="126">
        <f>DH123</f>
        <v>1220.33848705124</v>
      </c>
      <c r="DI173" s="127">
        <f>DH173</f>
        <v>1220.33848705124</v>
      </c>
      <c r="DJ173" s="126">
        <f>DJ123</f>
        <v>1346.41163608539</v>
      </c>
      <c r="DK173" s="126">
        <f>DK123</f>
        <v>1356.54974661454</v>
      </c>
      <c r="DL173" s="126">
        <f>DL123</f>
        <v>854.47308158389</v>
      </c>
      <c r="DM173" s="126">
        <f>DM123</f>
        <v>1440.50163464268</v>
      </c>
      <c r="DN173" s="127">
        <f>DM173</f>
        <v>1440.50163464268</v>
      </c>
      <c r="DO173" s="126">
        <f>DO123</f>
        <v>1550.43874532979</v>
      </c>
      <c r="DP173" s="126">
        <f>DP123</f>
        <v>1587.00092406941</v>
      </c>
      <c r="DQ173" s="126">
        <f>DQ123</f>
        <v>1073.93368498903</v>
      </c>
      <c r="DR173" s="126">
        <f>DR123</f>
        <v>1649.05710596887</v>
      </c>
      <c r="DS173" s="127">
        <f>DR173</f>
        <v>1649.05710596887</v>
      </c>
    </row>
    <row r="174" spans="1:123">
      <c r="B174" s="198" t="s">
        <v>104</v>
      </c>
      <c r="C174" s="124"/>
      <c r="H174" s="124"/>
      <c r="M174" s="124">
        <v>2.290665</v>
      </c>
      <c r="R174" s="124">
        <v>4.431556</v>
      </c>
      <c r="W174" s="124">
        <v>4.029</v>
      </c>
      <c r="AB174" s="124">
        <v>8.238</v>
      </c>
      <c r="AG174" s="124">
        <v>9.116</v>
      </c>
      <c r="AH174" s="125">
        <v>12.149</v>
      </c>
      <c r="AI174" s="125">
        <v>9.72</v>
      </c>
      <c r="AJ174" s="125">
        <v>10.814</v>
      </c>
      <c r="AK174" s="125">
        <f>AL174</f>
        <v>5.202</v>
      </c>
      <c r="AL174" s="124">
        <v>5.202</v>
      </c>
      <c r="AM174" s="125">
        <v>4.848</v>
      </c>
      <c r="AN174" s="125">
        <v>6.639</v>
      </c>
      <c r="AO174" s="125">
        <v>8.041</v>
      </c>
      <c r="AP174" s="125">
        <f>AQ174</f>
        <v>6.351</v>
      </c>
      <c r="AQ174" s="124">
        <v>6.351</v>
      </c>
      <c r="AR174" s="125">
        <v>0</v>
      </c>
      <c r="AS174" s="125">
        <v>0</v>
      </c>
      <c r="AT174" s="125">
        <v>12.105</v>
      </c>
      <c r="AU174" s="125">
        <f>AV174</f>
        <v>11.903</v>
      </c>
      <c r="AV174" s="124">
        <v>11.903</v>
      </c>
      <c r="AW174" s="125">
        <v>7.849</v>
      </c>
      <c r="AX174" s="125">
        <v>8.835</v>
      </c>
      <c r="AY174" s="125">
        <v>10.719</v>
      </c>
      <c r="AZ174" s="125">
        <f>BA174</f>
        <v>13.746</v>
      </c>
      <c r="BA174" s="124">
        <v>13.746</v>
      </c>
      <c r="BB174" s="125">
        <v>13.287</v>
      </c>
      <c r="BC174" s="125">
        <v>12.209</v>
      </c>
      <c r="BD174" s="125">
        <v>12.463</v>
      </c>
      <c r="BE174" s="125">
        <f>BF174</f>
        <v>13.108</v>
      </c>
      <c r="BF174" s="124">
        <v>13.108</v>
      </c>
      <c r="BG174" s="125">
        <v>9.502</v>
      </c>
      <c r="BH174" s="125">
        <v>10.196</v>
      </c>
      <c r="BI174" s="125">
        <v>11.91</v>
      </c>
      <c r="BJ174" s="125">
        <f>BK174</f>
        <v>9.2</v>
      </c>
      <c r="BK174" s="124">
        <v>9.2</v>
      </c>
      <c r="BL174" s="125">
        <v>10.707</v>
      </c>
      <c r="BM174" s="125">
        <v>15.873</v>
      </c>
      <c r="BN174" s="125">
        <v>21.281</v>
      </c>
      <c r="BO174" s="125">
        <v>19.173</v>
      </c>
      <c r="BP174" s="124">
        <f>BO174</f>
        <v>19.173</v>
      </c>
      <c r="BQ174" s="125">
        <v>21.875</v>
      </c>
      <c r="BR174" s="172">
        <v>23.535</v>
      </c>
      <c r="BS174" s="125">
        <v>29.448</v>
      </c>
      <c r="BT174" s="125">
        <v>35.786</v>
      </c>
      <c r="BU174" s="124">
        <f>BT174</f>
        <v>35.786</v>
      </c>
      <c r="BV174" s="125">
        <v>20.105</v>
      </c>
      <c r="BW174" s="125">
        <v>27.659</v>
      </c>
      <c r="BX174" s="125">
        <v>35.744</v>
      </c>
      <c r="BY174" s="125">
        <v>40.219</v>
      </c>
      <c r="BZ174" s="124">
        <f>BY174</f>
        <v>40.219</v>
      </c>
      <c r="CA174" s="125">
        <v>48.684</v>
      </c>
      <c r="CB174" s="125">
        <v>48.922</v>
      </c>
      <c r="CC174" s="125">
        <v>59.772</v>
      </c>
      <c r="CD174" s="172">
        <v>62.399</v>
      </c>
      <c r="CE174" s="124">
        <f>CD174</f>
        <v>62.399</v>
      </c>
      <c r="CF174" s="172">
        <v>56.956</v>
      </c>
      <c r="CG174" s="125">
        <v>56.15</v>
      </c>
      <c r="CH174" s="125">
        <v>75.343</v>
      </c>
      <c r="CI174" s="125">
        <v>77.001</v>
      </c>
      <c r="CJ174" s="127">
        <f>CI174</f>
        <v>77.001</v>
      </c>
      <c r="CK174" s="126">
        <v>78.391</v>
      </c>
      <c r="CL174" s="126">
        <v>81.784</v>
      </c>
      <c r="CM174" s="126">
        <v>96.179</v>
      </c>
      <c r="CN174" s="126">
        <v>132.906</v>
      </c>
      <c r="CO174" s="127">
        <f>CN174</f>
        <v>132.906</v>
      </c>
      <c r="CP174" s="126">
        <v>107.468</v>
      </c>
      <c r="CQ174" s="126">
        <v>106.221</v>
      </c>
      <c r="CR174" s="126">
        <v>107.004</v>
      </c>
      <c r="CS174" s="126">
        <v>183.733</v>
      </c>
      <c r="CT174" s="127">
        <f>CS174</f>
        <v>183.733</v>
      </c>
      <c r="CU174" s="128">
        <v>126.349</v>
      </c>
      <c r="CV174" s="128">
        <v>210.969</v>
      </c>
      <c r="CW174" s="126">
        <v>143.418</v>
      </c>
      <c r="CX174" s="128">
        <v>120.173</v>
      </c>
      <c r="CY174" s="127">
        <f>CX174</f>
        <v>120.173</v>
      </c>
      <c r="CZ174" s="126">
        <v>141.241</v>
      </c>
      <c r="DA174" s="126">
        <v>139.258</v>
      </c>
      <c r="DB174" s="126">
        <v>250.304</v>
      </c>
      <c r="DC174" s="126">
        <v>190.657</v>
      </c>
      <c r="DD174" s="127">
        <f>DC174</f>
        <v>190.657</v>
      </c>
      <c r="DE174" s="128">
        <v>164.973</v>
      </c>
      <c r="DF174" s="126">
        <v>171.164</v>
      </c>
      <c r="DG174" s="126">
        <f>DG219*DG$214</f>
        <v>245.112480363049</v>
      </c>
      <c r="DH174" s="126">
        <f>DH219*DH$214</f>
        <v>179.735472945317</v>
      </c>
      <c r="DI174" s="127">
        <f>DH174</f>
        <v>179.735472945317</v>
      </c>
      <c r="DJ174" s="126">
        <f>DJ219*DJ$214</f>
        <v>152.493688586554</v>
      </c>
      <c r="DK174" s="126">
        <f>DK219*DK$214</f>
        <v>158.453437480133</v>
      </c>
      <c r="DL174" s="126">
        <f>DL219*DL$214</f>
        <v>231.912790512332</v>
      </c>
      <c r="DM174" s="126">
        <f>DM219*DM$214</f>
        <v>175.447918575232</v>
      </c>
      <c r="DN174" s="127">
        <f>DM174</f>
        <v>175.447918575232</v>
      </c>
      <c r="DO174" s="126">
        <f>DO219*DO$214</f>
        <v>150.900583676036</v>
      </c>
      <c r="DP174" s="126">
        <f>DP219*DP$214</f>
        <v>158.519509373595</v>
      </c>
      <c r="DQ174" s="126">
        <f>DQ219*DQ$214</f>
        <v>233.069258761107</v>
      </c>
      <c r="DR174" s="126">
        <f>DR219*DR$214</f>
        <v>177.406640527584</v>
      </c>
      <c r="DS174" s="127">
        <f>DR174</f>
        <v>177.406640527584</v>
      </c>
    </row>
    <row r="175" spans="1:123">
      <c r="B175" s="198" t="s">
        <v>129</v>
      </c>
      <c r="C175" s="124"/>
      <c r="H175" s="124"/>
      <c r="M175" s="124">
        <v>26.628113</v>
      </c>
      <c r="R175" s="124">
        <v>39.092208</v>
      </c>
      <c r="W175" s="124">
        <v>52.051</v>
      </c>
      <c r="AB175" s="124">
        <v>44.07</v>
      </c>
      <c r="AG175" s="124">
        <v>57.469</v>
      </c>
      <c r="AH175" s="125">
        <v>64.423</v>
      </c>
      <c r="AI175" s="125">
        <v>88.884</v>
      </c>
      <c r="AJ175" s="125">
        <v>129.169</v>
      </c>
      <c r="AK175" s="125">
        <f>AL175</f>
        <v>104.097</v>
      </c>
      <c r="AL175" s="124">
        <v>104.097</v>
      </c>
      <c r="AM175" s="125">
        <v>107.679</v>
      </c>
      <c r="AN175" s="125">
        <v>125.378</v>
      </c>
      <c r="AO175" s="125">
        <v>164.726</v>
      </c>
      <c r="AP175" s="125">
        <f>AQ175</f>
        <v>155.222</v>
      </c>
      <c r="AQ175" s="124">
        <v>155.222</v>
      </c>
      <c r="AR175" s="125">
        <v>143.712</v>
      </c>
      <c r="AS175" s="125">
        <v>163.004</v>
      </c>
      <c r="AT175" s="125">
        <v>206.154</v>
      </c>
      <c r="AU175" s="125">
        <f>AV175</f>
        <v>186.09</v>
      </c>
      <c r="AV175" s="124">
        <v>186.09</v>
      </c>
      <c r="AW175" s="125">
        <v>177.375</v>
      </c>
      <c r="AX175" s="125">
        <v>176.502</v>
      </c>
      <c r="AY175" s="125">
        <v>229.861</v>
      </c>
      <c r="AZ175" s="125">
        <f>BA175</f>
        <v>208.116</v>
      </c>
      <c r="BA175" s="124">
        <v>208.116</v>
      </c>
      <c r="BB175" s="125">
        <v>236.499</v>
      </c>
      <c r="BC175" s="125">
        <v>280.607</v>
      </c>
      <c r="BD175" s="125">
        <v>357.753</v>
      </c>
      <c r="BE175" s="125">
        <f>BF175</f>
        <v>284.009</v>
      </c>
      <c r="BF175" s="124">
        <v>284.009</v>
      </c>
      <c r="BG175" s="125">
        <v>286.23</v>
      </c>
      <c r="BH175" s="125">
        <v>277.279</v>
      </c>
      <c r="BI175" s="125">
        <v>364.514</v>
      </c>
      <c r="BJ175" s="125">
        <f>BK175</f>
        <v>298.432</v>
      </c>
      <c r="BK175" s="124">
        <v>298.432</v>
      </c>
      <c r="BL175" s="125">
        <v>303.95</v>
      </c>
      <c r="BM175" s="125">
        <v>316.368</v>
      </c>
      <c r="BN175" s="125">
        <v>396.892</v>
      </c>
      <c r="BO175" s="125">
        <v>329.562</v>
      </c>
      <c r="BP175" s="124">
        <f>BO175</f>
        <v>329.562</v>
      </c>
      <c r="BQ175" s="125">
        <v>373.445</v>
      </c>
      <c r="BR175" s="172">
        <v>392.672</v>
      </c>
      <c r="BS175" s="125">
        <v>495.991</v>
      </c>
      <c r="BT175" s="125">
        <v>404.842</v>
      </c>
      <c r="BU175" s="124">
        <f>BT175</f>
        <v>404.842</v>
      </c>
      <c r="BV175" s="125">
        <v>443.006</v>
      </c>
      <c r="BW175" s="125">
        <v>494.294</v>
      </c>
      <c r="BX175" s="125">
        <v>627.102</v>
      </c>
      <c r="BY175" s="125">
        <v>518.513</v>
      </c>
      <c r="BZ175" s="124">
        <f>BY175</f>
        <v>518.513</v>
      </c>
      <c r="CA175" s="125">
        <v>625.849</v>
      </c>
      <c r="CB175" s="125">
        <v>672.773</v>
      </c>
      <c r="CC175" s="125">
        <v>770.99</v>
      </c>
      <c r="CD175" s="172">
        <v>647.23</v>
      </c>
      <c r="CE175" s="124">
        <f>CD175</f>
        <v>647.23</v>
      </c>
      <c r="CF175" s="172">
        <v>732.89</v>
      </c>
      <c r="CG175" s="125">
        <v>789.836</v>
      </c>
      <c r="CH175" s="125">
        <v>943.9</v>
      </c>
      <c r="CI175" s="125">
        <v>966.481</v>
      </c>
      <c r="CJ175" s="127">
        <f>CI175</f>
        <v>966.481</v>
      </c>
      <c r="CK175" s="126">
        <v>1275.04</v>
      </c>
      <c r="CL175" s="126">
        <v>1462.076</v>
      </c>
      <c r="CM175" s="126">
        <v>1741.716</v>
      </c>
      <c r="CN175" s="126">
        <v>1447.367</v>
      </c>
      <c r="CO175" s="127">
        <f>CN175</f>
        <v>1447.367</v>
      </c>
      <c r="CP175" s="126">
        <v>1580.313</v>
      </c>
      <c r="CQ175" s="126">
        <v>1660.753</v>
      </c>
      <c r="CR175" s="128">
        <v>1663.617</v>
      </c>
      <c r="CS175" s="128">
        <v>1323.602</v>
      </c>
      <c r="CT175" s="127">
        <f>CS175</f>
        <v>1323.602</v>
      </c>
      <c r="CU175" s="128">
        <v>1345.267</v>
      </c>
      <c r="CV175" s="128">
        <v>1429.043</v>
      </c>
      <c r="CW175" s="126">
        <v>1800.893</v>
      </c>
      <c r="CX175" s="128">
        <v>1442.081</v>
      </c>
      <c r="CY175" s="127">
        <f>CX175</f>
        <v>1442.081</v>
      </c>
      <c r="CZ175" s="126">
        <v>1652.091</v>
      </c>
      <c r="DA175" s="126">
        <v>1722.57</v>
      </c>
      <c r="DB175" s="126">
        <v>1997.844</v>
      </c>
      <c r="DC175" s="126">
        <v>1700.753</v>
      </c>
      <c r="DD175" s="127">
        <f>DC175</f>
        <v>1700.753</v>
      </c>
      <c r="DE175" s="128">
        <v>1687.088</v>
      </c>
      <c r="DF175" s="128">
        <v>1711.45</v>
      </c>
      <c r="DG175" s="126">
        <f>-DG261*DG$215</f>
        <v>2041.23323444755</v>
      </c>
      <c r="DH175" s="126">
        <f>-DH261*DH$215</f>
        <v>1779.25583111194</v>
      </c>
      <c r="DI175" s="127">
        <f>DH175</f>
        <v>1779.25583111194</v>
      </c>
      <c r="DJ175" s="126">
        <f>-DJ261*DJ$215</f>
        <v>1651.23571087151</v>
      </c>
      <c r="DK175" s="126">
        <f>-DK261*DK$215</f>
        <v>1736.77712483126</v>
      </c>
      <c r="DL175" s="126">
        <f>-DL261*DL$215</f>
        <v>2074.4834627547</v>
      </c>
      <c r="DM175" s="126">
        <f>-DM261*DM$215</f>
        <v>1784.44946818833</v>
      </c>
      <c r="DN175" s="127">
        <f>DM175</f>
        <v>1784.44946818833</v>
      </c>
      <c r="DO175" s="126">
        <f>-DO261*DO$215</f>
        <v>1682.83031733861</v>
      </c>
      <c r="DP175" s="126">
        <f>-DP261*DP$215</f>
        <v>1742.27114368602</v>
      </c>
      <c r="DQ175" s="126">
        <f>-DQ261*DQ$215</f>
        <v>2090.34085568416</v>
      </c>
      <c r="DR175" s="126">
        <f>-DR261*DR$215</f>
        <v>1808.40491450377</v>
      </c>
      <c r="DS175" s="127">
        <f>DR175</f>
        <v>1808.40491450377</v>
      </c>
    </row>
    <row r="176" spans="1:123">
      <c r="B176" s="198" t="s">
        <v>130</v>
      </c>
      <c r="C176" s="124"/>
      <c r="H176" s="124"/>
      <c r="M176" s="124">
        <f>1.022533+2.522898</f>
        <v>3.545431</v>
      </c>
      <c r="R176" s="124">
        <v>1.043328</v>
      </c>
      <c r="W176" s="124">
        <v>4.111</v>
      </c>
      <c r="AB176" s="124">
        <v>4.529</v>
      </c>
      <c r="AG176" s="124">
        <v>6.408</v>
      </c>
      <c r="AH176" s="125">
        <v>12.545</v>
      </c>
      <c r="AI176" s="125">
        <v>20.64</v>
      </c>
      <c r="AJ176" s="125">
        <v>10.887</v>
      </c>
      <c r="AK176" s="125">
        <f>AL176</f>
        <v>8.357</v>
      </c>
      <c r="AL176" s="124">
        <v>8.357</v>
      </c>
      <c r="AM176" s="125">
        <v>21.248</v>
      </c>
      <c r="AN176" s="125">
        <v>27.222</v>
      </c>
      <c r="AO176" s="125">
        <v>28.894</v>
      </c>
      <c r="AP176" s="125">
        <f>AQ176</f>
        <v>35.301</v>
      </c>
      <c r="AQ176" s="124">
        <v>35.301</v>
      </c>
      <c r="AR176" s="125">
        <v>49.489</v>
      </c>
      <c r="AS176" s="125">
        <v>64.863</v>
      </c>
      <c r="AT176" s="125">
        <v>61.587</v>
      </c>
      <c r="AU176" s="125">
        <f>AV176</f>
        <v>46.197</v>
      </c>
      <c r="AV176" s="124">
        <v>46.197</v>
      </c>
      <c r="AW176" s="125">
        <v>44.194</v>
      </c>
      <c r="AX176" s="125">
        <v>63.692</v>
      </c>
      <c r="AY176" s="125">
        <v>70.495</v>
      </c>
      <c r="AZ176" s="125">
        <f>BA176</f>
        <v>64.671</v>
      </c>
      <c r="BA176" s="124">
        <v>64.671</v>
      </c>
      <c r="BB176" s="125">
        <v>67.125</v>
      </c>
      <c r="BC176" s="125">
        <v>84.191</v>
      </c>
      <c r="BD176" s="125">
        <v>154.842</v>
      </c>
      <c r="BE176" s="125">
        <f>BF176</f>
        <v>118.44</v>
      </c>
      <c r="BF176" s="124">
        <f>91.453+26.987</f>
        <v>118.44</v>
      </c>
      <c r="BG176" s="125">
        <v>125.415</v>
      </c>
      <c r="BH176" s="125">
        <v>139.858</v>
      </c>
      <c r="BI176" s="125">
        <v>166.1</v>
      </c>
      <c r="BJ176" s="125">
        <f>BK176</f>
        <v>120.259</v>
      </c>
      <c r="BK176" s="124">
        <f>81.19+39.069</f>
        <v>120.259</v>
      </c>
      <c r="BL176" s="125">
        <v>119.735</v>
      </c>
      <c r="BM176" s="125">
        <v>117.569</v>
      </c>
      <c r="BN176" s="125">
        <v>120.121</v>
      </c>
      <c r="BO176" s="125">
        <f>48.948+48.098</f>
        <v>97.046</v>
      </c>
      <c r="BP176" s="124">
        <f>BO176</f>
        <v>97.046</v>
      </c>
      <c r="BQ176" s="125">
        <f>46.927+44.037</f>
        <v>90.964</v>
      </c>
      <c r="BR176" s="172">
        <f>62.203+51.786</f>
        <v>113.989</v>
      </c>
      <c r="BS176" s="172">
        <f>76.593+57.828</f>
        <v>134.421</v>
      </c>
      <c r="BT176" s="172">
        <f>49.385+57.949</f>
        <v>107.334</v>
      </c>
      <c r="BU176" s="173">
        <f>BT176</f>
        <v>107.334</v>
      </c>
      <c r="BV176" s="172">
        <f>82.2+50.032</f>
        <v>132.232</v>
      </c>
      <c r="BW176" s="172">
        <f>112.572+74.75</f>
        <v>187.322</v>
      </c>
      <c r="BX176" s="172">
        <f>126.715+75.962</f>
        <v>202.677</v>
      </c>
      <c r="BY176" s="172">
        <f>85.159+70.542</f>
        <v>155.701</v>
      </c>
      <c r="BZ176" s="173">
        <f>BY176</f>
        <v>155.701</v>
      </c>
      <c r="CA176" s="172">
        <f>89.316+107.69</f>
        <v>197.006</v>
      </c>
      <c r="CB176" s="172">
        <f>125.019+120.043</f>
        <v>245.062</v>
      </c>
      <c r="CC176" s="172">
        <f>168.272+120.198</f>
        <v>288.47</v>
      </c>
      <c r="CD176" s="172">
        <f>139.126+125.107</f>
        <v>264.233</v>
      </c>
      <c r="CE176" s="173">
        <f>CD176</f>
        <v>264.233</v>
      </c>
      <c r="CF176" s="172">
        <f>139.123+144.744</f>
        <v>283.867</v>
      </c>
      <c r="CG176" s="172">
        <f>117.807+141.473</f>
        <v>259.28</v>
      </c>
      <c r="CH176" s="172">
        <f>140.582+157.878</f>
        <v>298.46</v>
      </c>
      <c r="CI176" s="172">
        <f>118.928+192.572</f>
        <v>311.5</v>
      </c>
      <c r="CJ176" s="129">
        <f>CI176</f>
        <v>311.5</v>
      </c>
      <c r="CK176" s="128">
        <f>116.281+184.512</f>
        <v>300.793</v>
      </c>
      <c r="CL176" s="128">
        <f>166.438+177.965</f>
        <v>344.403</v>
      </c>
      <c r="CM176" s="128">
        <f>196.385+247.277</f>
        <v>443.662</v>
      </c>
      <c r="CN176" s="128">
        <f>185.641+238.672</f>
        <v>424.313</v>
      </c>
      <c r="CO176" s="129">
        <f>CN176</f>
        <v>424.313</v>
      </c>
      <c r="CP176" s="128">
        <f>182.393+232.521</f>
        <v>414.914</v>
      </c>
      <c r="CQ176" s="128">
        <f>224.916+224.513</f>
        <v>449.429</v>
      </c>
      <c r="CR176" s="128">
        <f>202.882+300.258</f>
        <v>503.14</v>
      </c>
      <c r="CS176" s="128">
        <v>309.271</v>
      </c>
      <c r="CT176" s="129">
        <f>CS176</f>
        <v>309.271</v>
      </c>
      <c r="CU176" s="128">
        <f>192.955+202.844</f>
        <v>395.799</v>
      </c>
      <c r="CV176" s="128">
        <f>321.62</f>
        <v>321.62</v>
      </c>
      <c r="CW176" s="128">
        <f>257.388+215.171</f>
        <v>472.559</v>
      </c>
      <c r="CX176" s="128">
        <f>182.253+251.459</f>
        <v>433.712</v>
      </c>
      <c r="CY176" s="129">
        <f>CX176</f>
        <v>433.712</v>
      </c>
      <c r="CZ176" s="128">
        <f>230.28+233.633</f>
        <v>463.913</v>
      </c>
      <c r="DA176" s="128">
        <f>323.227+187.879</f>
        <v>511.106</v>
      </c>
      <c r="DB176" s="128">
        <f>430.303+209.348</f>
        <v>639.651</v>
      </c>
      <c r="DC176" s="128">
        <f>352.469+211.62</f>
        <v>564.089</v>
      </c>
      <c r="DD176" s="129">
        <f>DC176</f>
        <v>564.089</v>
      </c>
      <c r="DE176" s="128">
        <f>422.167+205.618</f>
        <v>627.785</v>
      </c>
      <c r="DF176" s="128">
        <f>479.948+193.288</f>
        <v>673.236</v>
      </c>
      <c r="DG176" s="548">
        <f t="shared" ref="DG176:DS176" si="442">DF176</f>
        <v>673.236</v>
      </c>
      <c r="DH176" s="548">
        <f t="shared" si="442"/>
        <v>673.236</v>
      </c>
      <c r="DI176" s="129">
        <f t="shared" si="442"/>
        <v>673.236</v>
      </c>
      <c r="DJ176" s="548">
        <f t="shared" si="442"/>
        <v>673.236</v>
      </c>
      <c r="DK176" s="548">
        <f t="shared" si="442"/>
        <v>673.236</v>
      </c>
      <c r="DL176" s="548">
        <f t="shared" si="442"/>
        <v>673.236</v>
      </c>
      <c r="DM176" s="548">
        <f t="shared" si="442"/>
        <v>673.236</v>
      </c>
      <c r="DN176" s="129">
        <f t="shared" si="442"/>
        <v>673.236</v>
      </c>
      <c r="DO176" s="548">
        <f t="shared" si="442"/>
        <v>673.236</v>
      </c>
      <c r="DP176" s="548">
        <f t="shared" si="442"/>
        <v>673.236</v>
      </c>
      <c r="DQ176" s="548">
        <f t="shared" si="442"/>
        <v>673.236</v>
      </c>
      <c r="DR176" s="548">
        <f t="shared" si="442"/>
        <v>673.236</v>
      </c>
      <c r="DS176" s="129">
        <f t="shared" si="442"/>
        <v>673.236</v>
      </c>
    </row>
    <row r="177" spans="1:123">
      <c r="B177" s="198"/>
      <c r="C177" s="124"/>
      <c r="H177" s="124"/>
      <c r="M177" s="124"/>
      <c r="R177" s="124"/>
      <c r="W177" s="124"/>
      <c r="AB177" s="124"/>
      <c r="AG177" s="124"/>
      <c r="AL177" s="124"/>
      <c r="AQ177" s="124"/>
      <c r="AV177" s="124"/>
      <c r="BA177" s="124"/>
      <c r="BF177" s="124"/>
      <c r="BK177" s="124"/>
      <c r="BP177" s="124"/>
      <c r="BR177" s="172"/>
      <c r="BU177" s="124"/>
      <c r="BZ177" s="124"/>
      <c r="CE177" s="124"/>
      <c r="CJ177" s="124"/>
      <c r="CO177" s="124"/>
      <c r="CT177" s="124"/>
      <c r="CX177" s="172"/>
      <c r="CY177" s="124"/>
      <c r="CZ177" s="172"/>
      <c r="DD177" s="124"/>
      <c r="DE177" s="172"/>
      <c r="DF177" s="172"/>
      <c r="DI177" s="124"/>
      <c r="DN177" s="124"/>
      <c r="DS177" s="124"/>
    </row>
    <row r="178" s="3" customFormat="1" spans="1:123">
      <c r="A178" s="132"/>
      <c r="B178" s="597" t="s">
        <v>131</v>
      </c>
      <c r="C178" s="598"/>
      <c r="D178" s="599"/>
      <c r="E178" s="599"/>
      <c r="F178" s="599"/>
      <c r="G178" s="599"/>
      <c r="H178" s="598"/>
      <c r="I178" s="599"/>
      <c r="J178" s="599"/>
      <c r="K178" s="599"/>
      <c r="L178" s="599"/>
      <c r="M178" s="598">
        <f>SUM(M173:M176)</f>
        <v>48.492743</v>
      </c>
      <c r="N178" s="599"/>
      <c r="O178" s="599"/>
      <c r="P178" s="599"/>
      <c r="Q178" s="599"/>
      <c r="R178" s="598">
        <f>SUM(R173:R176)</f>
        <v>97.906418</v>
      </c>
      <c r="S178" s="599"/>
      <c r="T178" s="599"/>
      <c r="U178" s="599"/>
      <c r="V178" s="599"/>
      <c r="W178" s="598">
        <f>SUM(W173:W176)</f>
        <v>116.988</v>
      </c>
      <c r="X178" s="599"/>
      <c r="Y178" s="599"/>
      <c r="Z178" s="599"/>
      <c r="AA178" s="599"/>
      <c r="AB178" s="598">
        <f>SUM(AB173:AB176)</f>
        <v>216.41</v>
      </c>
      <c r="AC178" s="599"/>
      <c r="AD178" s="599"/>
      <c r="AE178" s="599"/>
      <c r="AF178" s="599"/>
      <c r="AG178" s="598">
        <f t="shared" ref="AG178:BL178" si="443">SUM(AG173:AG176)</f>
        <v>389.279</v>
      </c>
      <c r="AH178" s="599">
        <f t="shared" si="443"/>
        <v>349.988</v>
      </c>
      <c r="AI178" s="599">
        <f t="shared" si="443"/>
        <v>383.972</v>
      </c>
      <c r="AJ178" s="599">
        <f t="shared" si="443"/>
        <v>427.816</v>
      </c>
      <c r="AK178" s="599">
        <f t="shared" si="443"/>
        <v>527.093</v>
      </c>
      <c r="AL178" s="598">
        <f t="shared" si="443"/>
        <v>527.093</v>
      </c>
      <c r="AM178" s="599">
        <f t="shared" si="443"/>
        <v>558.105</v>
      </c>
      <c r="AN178" s="599">
        <f t="shared" si="443"/>
        <v>603.525</v>
      </c>
      <c r="AO178" s="599">
        <f t="shared" si="443"/>
        <v>641.084</v>
      </c>
      <c r="AP178" s="599">
        <f t="shared" si="443"/>
        <v>787.053</v>
      </c>
      <c r="AQ178" s="598">
        <f t="shared" si="443"/>
        <v>787.053</v>
      </c>
      <c r="AR178" s="599">
        <f t="shared" si="443"/>
        <v>781.619</v>
      </c>
      <c r="AS178" s="599">
        <f t="shared" si="443"/>
        <v>838.14</v>
      </c>
      <c r="AT178" s="599">
        <f t="shared" si="443"/>
        <v>880.591</v>
      </c>
      <c r="AU178" s="599">
        <f t="shared" si="443"/>
        <v>942.839</v>
      </c>
      <c r="AV178" s="598">
        <f t="shared" si="443"/>
        <v>942.839</v>
      </c>
      <c r="AW178" s="599">
        <f t="shared" si="443"/>
        <v>981.383</v>
      </c>
      <c r="AX178" s="599">
        <f t="shared" si="443"/>
        <v>974.102</v>
      </c>
      <c r="AY178" s="599">
        <f t="shared" si="443"/>
        <v>944.657</v>
      </c>
      <c r="AZ178" s="599">
        <f t="shared" si="443"/>
        <v>951.012</v>
      </c>
      <c r="BA178" s="598">
        <f t="shared" si="443"/>
        <v>951.012</v>
      </c>
      <c r="BB178" s="599">
        <f t="shared" si="443"/>
        <v>972.792</v>
      </c>
      <c r="BC178" s="599">
        <f t="shared" si="443"/>
        <v>918.269</v>
      </c>
      <c r="BD178" s="599">
        <f t="shared" si="443"/>
        <v>928.504</v>
      </c>
      <c r="BE178" s="599">
        <f t="shared" si="443"/>
        <v>917.039</v>
      </c>
      <c r="BF178" s="598">
        <f t="shared" si="443"/>
        <v>917.039</v>
      </c>
      <c r="BG178" s="599">
        <f t="shared" si="443"/>
        <v>971.193</v>
      </c>
      <c r="BH178" s="599">
        <f t="shared" si="443"/>
        <v>962.683</v>
      </c>
      <c r="BI178" s="599">
        <f t="shared" si="443"/>
        <v>1022.91</v>
      </c>
      <c r="BJ178" s="599">
        <f t="shared" si="443"/>
        <v>1162.737</v>
      </c>
      <c r="BK178" s="598">
        <f t="shared" si="443"/>
        <v>1162.737</v>
      </c>
      <c r="BL178" s="599">
        <f t="shared" si="443"/>
        <v>1132.681</v>
      </c>
      <c r="BM178" s="599">
        <f t="shared" ref="BM178:CO178" si="444">SUM(BM173:BM176)</f>
        <v>1171.022</v>
      </c>
      <c r="BN178" s="599">
        <f t="shared" si="444"/>
        <v>1188.348</v>
      </c>
      <c r="BO178" s="599">
        <f t="shared" si="444"/>
        <v>1436.282</v>
      </c>
      <c r="BP178" s="598">
        <f t="shared" si="444"/>
        <v>1436.282</v>
      </c>
      <c r="BQ178" s="599">
        <f t="shared" si="444"/>
        <v>1452.855</v>
      </c>
      <c r="BR178" s="629">
        <f t="shared" si="444"/>
        <v>1308.037</v>
      </c>
      <c r="BS178" s="599">
        <f t="shared" si="444"/>
        <v>1363.467</v>
      </c>
      <c r="BT178" s="599">
        <f t="shared" si="444"/>
        <v>1429.282</v>
      </c>
      <c r="BU178" s="598">
        <f t="shared" si="444"/>
        <v>1429.282</v>
      </c>
      <c r="BV178" s="599">
        <f t="shared" si="444"/>
        <v>1171.584</v>
      </c>
      <c r="BW178" s="599">
        <f t="shared" si="444"/>
        <v>1333.013</v>
      </c>
      <c r="BX178" s="599">
        <f t="shared" si="444"/>
        <v>1451.676</v>
      </c>
      <c r="BY178" s="599">
        <f t="shared" si="444"/>
        <v>1807.938</v>
      </c>
      <c r="BZ178" s="598">
        <f t="shared" si="444"/>
        <v>1807.938</v>
      </c>
      <c r="CA178" s="599">
        <f t="shared" si="444"/>
        <v>1694.545</v>
      </c>
      <c r="CB178" s="599">
        <f t="shared" si="444"/>
        <v>1489.755</v>
      </c>
      <c r="CC178" s="599">
        <f t="shared" si="444"/>
        <v>1600.813</v>
      </c>
      <c r="CD178" s="599">
        <f t="shared" si="444"/>
        <v>2124.379</v>
      </c>
      <c r="CE178" s="598">
        <f t="shared" si="444"/>
        <v>2124.379</v>
      </c>
      <c r="CF178" s="599">
        <f t="shared" si="444"/>
        <v>2253.452</v>
      </c>
      <c r="CG178" s="599">
        <f t="shared" si="444"/>
        <v>2275.307</v>
      </c>
      <c r="CH178" s="599">
        <f t="shared" si="444"/>
        <v>2311.294</v>
      </c>
      <c r="CI178" s="599">
        <f t="shared" si="444"/>
        <v>2614.853</v>
      </c>
      <c r="CJ178" s="598">
        <f t="shared" si="444"/>
        <v>2614.853</v>
      </c>
      <c r="CK178" s="599">
        <f t="shared" si="444"/>
        <v>2303.24</v>
      </c>
      <c r="CL178" s="599">
        <f t="shared" si="444"/>
        <v>2387.094</v>
      </c>
      <c r="CM178" s="599">
        <f t="shared" si="444"/>
        <v>2634.181</v>
      </c>
      <c r="CN178" s="599">
        <f t="shared" si="444"/>
        <v>3159.453</v>
      </c>
      <c r="CO178" s="598">
        <f t="shared" si="444"/>
        <v>3159.453</v>
      </c>
      <c r="CP178" s="599">
        <f t="shared" ref="CP178:DI178" si="445">SUM(CP173:CP176)</f>
        <v>3053.302</v>
      </c>
      <c r="CQ178" s="599">
        <f t="shared" si="445"/>
        <v>3323.933</v>
      </c>
      <c r="CR178" s="599">
        <f t="shared" si="445"/>
        <v>3364.899</v>
      </c>
      <c r="CS178" s="599">
        <f t="shared" si="445"/>
        <v>4060.577</v>
      </c>
      <c r="CT178" s="598">
        <f t="shared" si="445"/>
        <v>4060.577</v>
      </c>
      <c r="CU178" s="599">
        <f t="shared" si="445"/>
        <v>3768.087</v>
      </c>
      <c r="CV178" s="599">
        <f t="shared" si="445"/>
        <v>3571.744</v>
      </c>
      <c r="CW178" s="599">
        <f t="shared" si="445"/>
        <v>3605.289</v>
      </c>
      <c r="CX178" s="629">
        <f t="shared" ref="CX178" si="446">SUM(CX173:CX176)</f>
        <v>3980.302</v>
      </c>
      <c r="CY178" s="598">
        <f t="shared" si="445"/>
        <v>3980.302</v>
      </c>
      <c r="CZ178" s="629">
        <f t="shared" si="445"/>
        <v>3582.517</v>
      </c>
      <c r="DA178" s="599">
        <f t="shared" si="445"/>
        <v>3528.728</v>
      </c>
      <c r="DB178" s="599">
        <f t="shared" si="445"/>
        <v>3923.661</v>
      </c>
      <c r="DC178" s="599">
        <f t="shared" si="445"/>
        <v>4262.701</v>
      </c>
      <c r="DD178" s="598">
        <f t="shared" ref="DD178" si="447">SUM(DD173:DD176)</f>
        <v>4262.701</v>
      </c>
      <c r="DE178" s="629">
        <f t="shared" si="445"/>
        <v>3994.575</v>
      </c>
      <c r="DF178" s="629">
        <f t="shared" si="445"/>
        <v>3945.587</v>
      </c>
      <c r="DG178" s="599">
        <f t="shared" si="445"/>
        <v>3730.83734430577</v>
      </c>
      <c r="DH178" s="599">
        <f t="shared" si="445"/>
        <v>3852.5657911085</v>
      </c>
      <c r="DI178" s="598">
        <f t="shared" si="445"/>
        <v>3852.5657911085</v>
      </c>
      <c r="DJ178" s="599">
        <f t="shared" ref="DJ178:DN178" si="448">SUM(DJ173:DJ176)</f>
        <v>3823.37703554346</v>
      </c>
      <c r="DK178" s="599">
        <f t="shared" si="448"/>
        <v>3925.01630892593</v>
      </c>
      <c r="DL178" s="599">
        <f t="shared" si="448"/>
        <v>3834.10533485092</v>
      </c>
      <c r="DM178" s="599">
        <f t="shared" si="448"/>
        <v>4073.63502140624</v>
      </c>
      <c r="DN178" s="598">
        <f t="shared" si="448"/>
        <v>4073.63502140624</v>
      </c>
      <c r="DO178" s="599">
        <f t="shared" ref="DO178:DS178" si="449">SUM(DO173:DO176)</f>
        <v>4057.40564634444</v>
      </c>
      <c r="DP178" s="599">
        <f t="shared" si="449"/>
        <v>4161.02757712903</v>
      </c>
      <c r="DQ178" s="599">
        <f t="shared" si="449"/>
        <v>4070.5797994343</v>
      </c>
      <c r="DR178" s="599">
        <f t="shared" si="449"/>
        <v>4308.10466100022</v>
      </c>
      <c r="DS178" s="598">
        <f t="shared" si="449"/>
        <v>4308.10466100022</v>
      </c>
    </row>
    <row r="179" spans="1:123">
      <c r="B179" s="198"/>
      <c r="C179" s="124"/>
      <c r="H179" s="124"/>
      <c r="M179" s="124"/>
      <c r="R179" s="124"/>
      <c r="W179" s="124"/>
      <c r="AB179" s="124"/>
      <c r="AG179" s="124"/>
      <c r="AL179" s="124"/>
      <c r="AQ179" s="124"/>
      <c r="AV179" s="124"/>
      <c r="BA179" s="124"/>
      <c r="BF179" s="124"/>
      <c r="BK179" s="124"/>
      <c r="BP179" s="124"/>
      <c r="BR179" s="172"/>
      <c r="BU179" s="124"/>
      <c r="BZ179" s="124"/>
      <c r="CE179" s="124"/>
      <c r="CJ179" s="124"/>
      <c r="CO179" s="124"/>
      <c r="CT179" s="124"/>
      <c r="CX179" s="172"/>
      <c r="CY179" s="124"/>
      <c r="CZ179" s="172"/>
      <c r="DD179" s="124"/>
      <c r="DE179" s="172"/>
      <c r="DF179" s="172"/>
      <c r="DI179" s="124"/>
      <c r="DN179" s="124"/>
      <c r="DS179" s="124"/>
    </row>
    <row r="180" hidden="1" outlineLevel="1" spans="1:123">
      <c r="B180" s="198" t="s">
        <v>132</v>
      </c>
      <c r="C180" s="124"/>
      <c r="H180" s="124"/>
      <c r="M180" s="124"/>
      <c r="R180" s="124"/>
      <c r="W180" s="124"/>
      <c r="AB180" s="124"/>
      <c r="AG180" s="124"/>
      <c r="AH180" s="125">
        <f t="shared" ref="AH180:AO180" si="450">AH183-AH181</f>
        <v>175.43</v>
      </c>
      <c r="AI180" s="125">
        <f t="shared" si="450"/>
        <v>187.674</v>
      </c>
      <c r="AJ180" s="125">
        <f t="shared" si="450"/>
        <v>197.193</v>
      </c>
      <c r="AK180" s="125">
        <f t="shared" si="450"/>
        <v>214.342</v>
      </c>
      <c r="AL180" s="124">
        <f t="shared" si="450"/>
        <v>214.342</v>
      </c>
      <c r="AM180" s="125">
        <f t="shared" si="450"/>
        <v>229.146</v>
      </c>
      <c r="AN180" s="125">
        <f t="shared" si="450"/>
        <v>251.692</v>
      </c>
      <c r="AO180" s="125">
        <f t="shared" si="450"/>
        <v>284.303</v>
      </c>
      <c r="AP180" s="125">
        <f t="shared" ref="AP180:BO180" si="451">AP183-AP181</f>
        <v>306.373</v>
      </c>
      <c r="AQ180" s="124">
        <f t="shared" si="451"/>
        <v>306.373</v>
      </c>
      <c r="AR180" s="125">
        <f t="shared" si="451"/>
        <v>326.341</v>
      </c>
      <c r="AS180" s="125">
        <f t="shared" si="451"/>
        <v>344.335</v>
      </c>
      <c r="AT180" s="125">
        <f t="shared" si="451"/>
        <v>372.083</v>
      </c>
      <c r="AU180" s="125">
        <f t="shared" si="451"/>
        <v>374.6</v>
      </c>
      <c r="AV180" s="124">
        <f t="shared" si="451"/>
        <v>374.6</v>
      </c>
      <c r="AW180" s="125">
        <f t="shared" si="451"/>
        <v>402.827</v>
      </c>
      <c r="AX180" s="125">
        <f t="shared" si="451"/>
        <v>430.943</v>
      </c>
      <c r="AY180" s="125">
        <f t="shared" si="451"/>
        <v>462.547</v>
      </c>
      <c r="AZ180" s="125">
        <f t="shared" si="451"/>
        <v>453.863</v>
      </c>
      <c r="BA180" s="124">
        <f t="shared" si="451"/>
        <v>453.863</v>
      </c>
      <c r="BB180" s="125">
        <f t="shared" si="451"/>
        <v>488.287</v>
      </c>
      <c r="BC180" s="125">
        <f t="shared" si="451"/>
        <v>514.739</v>
      </c>
      <c r="BD180" s="125">
        <f t="shared" si="451"/>
        <v>557.058</v>
      </c>
      <c r="BE180" s="125">
        <f t="shared" si="451"/>
        <v>553.406</v>
      </c>
      <c r="BF180" s="124">
        <f t="shared" si="451"/>
        <v>553.406</v>
      </c>
      <c r="BG180" s="125">
        <f t="shared" si="451"/>
        <v>600.799</v>
      </c>
      <c r="BH180" s="125">
        <f t="shared" si="451"/>
        <v>638.494</v>
      </c>
      <c r="BI180" s="125">
        <f t="shared" si="451"/>
        <v>667.1</v>
      </c>
      <c r="BJ180" s="125">
        <f t="shared" si="451"/>
        <v>701.824</v>
      </c>
      <c r="BK180" s="124">
        <f t="shared" si="451"/>
        <v>701.824</v>
      </c>
      <c r="BL180" s="125">
        <f t="shared" si="451"/>
        <v>700.321</v>
      </c>
      <c r="BM180" s="125">
        <f t="shared" si="451"/>
        <v>756.855</v>
      </c>
      <c r="BN180" s="125">
        <f t="shared" si="451"/>
        <v>798.857</v>
      </c>
      <c r="BO180" s="125">
        <f t="shared" si="451"/>
        <v>817.35</v>
      </c>
      <c r="BP180" s="124">
        <f t="shared" ref="BP180:CD180" si="452">BP183-BP181</f>
        <v>817.35</v>
      </c>
      <c r="BQ180" s="172">
        <f t="shared" si="452"/>
        <v>842.743</v>
      </c>
      <c r="BR180" s="172">
        <f t="shared" si="452"/>
        <v>886.683</v>
      </c>
      <c r="BS180" s="172">
        <f t="shared" si="452"/>
        <v>962.073</v>
      </c>
      <c r="BT180" s="125">
        <f t="shared" si="452"/>
        <v>972.481</v>
      </c>
      <c r="BU180" s="124">
        <f t="shared" si="452"/>
        <v>972.481</v>
      </c>
      <c r="BV180" s="125">
        <f t="shared" si="452"/>
        <v>1013.801</v>
      </c>
      <c r="BW180" s="125">
        <f t="shared" si="452"/>
        <v>1073.363</v>
      </c>
      <c r="BX180" s="125">
        <f t="shared" si="452"/>
        <v>1145.498</v>
      </c>
      <c r="BY180" s="125">
        <f t="shared" si="452"/>
        <v>1193.369</v>
      </c>
      <c r="BZ180" s="124">
        <f>BY180</f>
        <v>1193.369</v>
      </c>
      <c r="CA180" s="125">
        <f t="shared" si="452"/>
        <v>1201.149</v>
      </c>
      <c r="CB180" s="125">
        <f t="shared" si="452"/>
        <v>1291.375</v>
      </c>
      <c r="CC180" s="125">
        <f t="shared" si="452"/>
        <v>1354.857</v>
      </c>
      <c r="CD180" s="125">
        <f t="shared" si="452"/>
        <v>1436.274</v>
      </c>
      <c r="CE180" s="124">
        <f>CD180</f>
        <v>1436.274</v>
      </c>
      <c r="CF180" s="125">
        <f t="shared" ref="CF180:CK180" si="453">CF183-CF181</f>
        <v>1515.53</v>
      </c>
      <c r="CG180" s="125">
        <f t="shared" si="453"/>
        <v>1547.232</v>
      </c>
      <c r="CH180" s="125">
        <f t="shared" si="453"/>
        <v>1693.796</v>
      </c>
      <c r="CI180" s="125">
        <f t="shared" si="453"/>
        <v>1756.844</v>
      </c>
      <c r="CJ180" s="127">
        <f>CI180</f>
        <v>1756.844</v>
      </c>
      <c r="CK180" s="126">
        <f t="shared" si="453"/>
        <v>1845.435</v>
      </c>
      <c r="CL180" s="126">
        <f t="shared" ref="CL180:CX180" si="454">CL183-CL181</f>
        <v>1983.501</v>
      </c>
      <c r="CM180" s="126">
        <f t="shared" si="454"/>
        <v>2244.98</v>
      </c>
      <c r="CN180" s="126">
        <f t="shared" si="454"/>
        <v>2256.912</v>
      </c>
      <c r="CO180" s="127">
        <f>CN180</f>
        <v>2256.912</v>
      </c>
      <c r="CP180" s="126">
        <f t="shared" si="454"/>
        <v>2336.586</v>
      </c>
      <c r="CQ180" s="126">
        <f t="shared" si="454"/>
        <v>2459.424</v>
      </c>
      <c r="CR180" s="126">
        <f t="shared" si="454"/>
        <v>2538.025</v>
      </c>
      <c r="CS180" s="126">
        <f t="shared" si="454"/>
        <v>2763.236</v>
      </c>
      <c r="CT180" s="127">
        <f>CS180</f>
        <v>2763.236</v>
      </c>
      <c r="CU180" s="126">
        <f t="shared" si="454"/>
        <v>2844.277</v>
      </c>
      <c r="CV180" s="126">
        <f t="shared" si="454"/>
        <v>2974.551</v>
      </c>
      <c r="CW180" s="126">
        <f t="shared" si="454"/>
        <v>3124.278</v>
      </c>
      <c r="CX180" s="126">
        <f t="shared" si="454"/>
        <v>3241.666</v>
      </c>
      <c r="CY180" s="127">
        <f>CX180</f>
        <v>3241.666</v>
      </c>
      <c r="CZ180" s="126">
        <f>CZ183-CZ181</f>
        <v>3409.837</v>
      </c>
      <c r="DA180" s="126">
        <f>DA183-DA181</f>
        <v>3574.814</v>
      </c>
      <c r="DB180" s="126">
        <f>DB183-DB181</f>
        <v>3691.5</v>
      </c>
      <c r="DC180" s="126">
        <f>DC183-DC181</f>
        <v>3896.57</v>
      </c>
      <c r="DD180" s="127">
        <f>DC180</f>
        <v>3896.57</v>
      </c>
      <c r="DE180" s="126">
        <f>DE183-DE181</f>
        <v>4004.365</v>
      </c>
      <c r="DF180" s="126">
        <f>DF183-DF181</f>
        <v>4068.851</v>
      </c>
      <c r="DG180" s="126">
        <f>DF180-DG105</f>
        <v>4266.43138</v>
      </c>
      <c r="DH180" s="126">
        <f>DG180-DH105</f>
        <v>4482.60738</v>
      </c>
      <c r="DI180" s="127">
        <f>DH180</f>
        <v>4482.60738</v>
      </c>
      <c r="DJ180" s="126">
        <f>DI180-DJ105</f>
        <v>4625.27298</v>
      </c>
      <c r="DK180" s="126">
        <f>DJ180-DK105</f>
        <v>4792.9101</v>
      </c>
      <c r="DL180" s="126">
        <f>DK180-DL105</f>
        <v>5014.2001256</v>
      </c>
      <c r="DM180" s="126">
        <f>DL180-DM105</f>
        <v>5256.3172456</v>
      </c>
      <c r="DN180" s="127">
        <f>DM180</f>
        <v>5256.3172456</v>
      </c>
      <c r="DO180" s="126">
        <f>DN180-DO105</f>
        <v>5416.1027176</v>
      </c>
      <c r="DP180" s="126">
        <f>DO180-DP105</f>
        <v>5603.856292</v>
      </c>
      <c r="DQ180" s="126">
        <f>DP180-DQ105</f>
        <v>5851.701120672</v>
      </c>
      <c r="DR180" s="126">
        <f>DQ180-DR105</f>
        <v>6122.872295072</v>
      </c>
      <c r="DS180" s="127">
        <f>DR180</f>
        <v>6122.872295072</v>
      </c>
    </row>
    <row r="181" hidden="1" outlineLevel="1" spans="1:123">
      <c r="B181" s="198" t="s">
        <v>133</v>
      </c>
      <c r="C181" s="124"/>
      <c r="H181" s="124"/>
      <c r="M181" s="124"/>
      <c r="R181" s="124"/>
      <c r="W181" s="124"/>
      <c r="AB181" s="124"/>
      <c r="AG181" s="124"/>
      <c r="AH181" s="125">
        <f t="shared" ref="AH181:AO181" si="455">AI181+AH90</f>
        <v>-30.513</v>
      </c>
      <c r="AI181" s="125">
        <f t="shared" si="455"/>
        <v>-36.554</v>
      </c>
      <c r="AJ181" s="125">
        <f t="shared" si="455"/>
        <v>-44.074</v>
      </c>
      <c r="AK181" s="125">
        <f>AM181+AK90</f>
        <v>-51.401</v>
      </c>
      <c r="AL181" s="124">
        <f>AK181</f>
        <v>-51.401</v>
      </c>
      <c r="AM181" s="125">
        <f t="shared" si="455"/>
        <v>-60.772</v>
      </c>
      <c r="AN181" s="125">
        <f t="shared" si="455"/>
        <v>-70.57</v>
      </c>
      <c r="AO181" s="125">
        <f t="shared" si="455"/>
        <v>-80.251</v>
      </c>
      <c r="AP181" s="125">
        <v>-91.734</v>
      </c>
      <c r="AQ181" s="124">
        <v>-91.734</v>
      </c>
      <c r="AR181" s="125">
        <v>-103.463</v>
      </c>
      <c r="AS181" s="125">
        <v>-115.541</v>
      </c>
      <c r="AT181" s="125">
        <v>-128.457</v>
      </c>
      <c r="AU181" s="125">
        <v>-118.997</v>
      </c>
      <c r="AV181" s="124">
        <v>-118.997</v>
      </c>
      <c r="AW181" s="125">
        <v>-131.457</v>
      </c>
      <c r="AX181" s="125">
        <v>-145.094</v>
      </c>
      <c r="AY181" s="125">
        <v>-160.706</v>
      </c>
      <c r="AZ181" s="125">
        <v>-157.855</v>
      </c>
      <c r="BA181" s="124">
        <v>-157.855</v>
      </c>
      <c r="BB181" s="125">
        <v>-173.951</v>
      </c>
      <c r="BC181" s="125">
        <v>-190.646</v>
      </c>
      <c r="BD181" s="125">
        <v>-210.353</v>
      </c>
      <c r="BE181" s="125">
        <v>-203.801</v>
      </c>
      <c r="BF181" s="124">
        <v>-203.801</v>
      </c>
      <c r="BG181" s="125">
        <v>-222.986</v>
      </c>
      <c r="BH181" s="125">
        <v>-243.484</v>
      </c>
      <c r="BI181" s="125">
        <v>-267.442</v>
      </c>
      <c r="BJ181" s="125">
        <v>-278.325</v>
      </c>
      <c r="BK181" s="124">
        <v>-278.325</v>
      </c>
      <c r="BL181" s="125">
        <v>-301.488</v>
      </c>
      <c r="BM181" s="125">
        <v>-329.894</v>
      </c>
      <c r="BN181" s="125">
        <v>-358.454</v>
      </c>
      <c r="BO181" s="125">
        <v>-343.708</v>
      </c>
      <c r="BP181" s="124">
        <v>-343.708</v>
      </c>
      <c r="BQ181" s="125">
        <f>BP181-BQ90</f>
        <v>-370.481</v>
      </c>
      <c r="BR181" s="172">
        <f>BQ181-BR90</f>
        <v>-399.137</v>
      </c>
      <c r="BS181" s="172">
        <f>BR181-BS90</f>
        <v>-430.823</v>
      </c>
      <c r="BT181" s="125">
        <f>BU181</f>
        <v>-405.244</v>
      </c>
      <c r="BU181" s="124">
        <v>-405.244</v>
      </c>
      <c r="BV181" s="172">
        <v>-431.063</v>
      </c>
      <c r="BW181" s="172">
        <f>-455.273-1</f>
        <v>-456.273</v>
      </c>
      <c r="BX181" s="125">
        <v>-489.126</v>
      </c>
      <c r="BY181" s="125">
        <v>-521.676</v>
      </c>
      <c r="BZ181" s="124">
        <f>BY181</f>
        <v>-521.676</v>
      </c>
      <c r="CA181" s="125">
        <v>-541.884</v>
      </c>
      <c r="CB181" s="125">
        <v>-592.861</v>
      </c>
      <c r="CC181" s="125">
        <v>-634.977</v>
      </c>
      <c r="CD181" s="125">
        <v>-690.587</v>
      </c>
      <c r="CE181" s="124">
        <f>CD181</f>
        <v>-690.587</v>
      </c>
      <c r="CF181" s="125">
        <v>-740.845</v>
      </c>
      <c r="CG181" s="125">
        <v>-740.845</v>
      </c>
      <c r="CH181" s="125">
        <v>-817.307</v>
      </c>
      <c r="CI181" s="125">
        <v>-829.134</v>
      </c>
      <c r="CJ181" s="127">
        <f>CI181</f>
        <v>-829.134</v>
      </c>
      <c r="CK181" s="126">
        <v>-870.651</v>
      </c>
      <c r="CL181" s="126">
        <v>-923.642</v>
      </c>
      <c r="CM181" s="126">
        <v>-1122.49</v>
      </c>
      <c r="CN181" s="126">
        <v>-987.298</v>
      </c>
      <c r="CO181" s="127">
        <f>CN181</f>
        <v>-987.298</v>
      </c>
      <c r="CP181" s="126">
        <v>-1023.793</v>
      </c>
      <c r="CQ181" s="126">
        <v>-1092.252</v>
      </c>
      <c r="CR181" s="128">
        <v>-1124.107</v>
      </c>
      <c r="CS181" s="126">
        <v>-1217.425</v>
      </c>
      <c r="CT181" s="127">
        <f>CS181</f>
        <v>-1217.425</v>
      </c>
      <c r="CU181" s="126">
        <v>-1283.092</v>
      </c>
      <c r="CV181" s="128">
        <v>-1359.658</v>
      </c>
      <c r="CW181" s="126">
        <v>-1426.519</v>
      </c>
      <c r="CX181" s="128">
        <v>-1461.049</v>
      </c>
      <c r="CY181" s="127">
        <f>CX181</f>
        <v>-1461.049</v>
      </c>
      <c r="CZ181" s="128">
        <v>-1563.228</v>
      </c>
      <c r="DA181" s="128">
        <v>-1657.453</v>
      </c>
      <c r="DB181" s="128">
        <v>-1739.488</v>
      </c>
      <c r="DC181" s="126">
        <v>-1862.85</v>
      </c>
      <c r="DD181" s="127">
        <f>DC181</f>
        <v>-1862.85</v>
      </c>
      <c r="DE181" s="128">
        <v>-1958.646</v>
      </c>
      <c r="DF181" s="128">
        <v>-2022.488</v>
      </c>
      <c r="DG181" s="126">
        <f>DF181-DG90</f>
        <v>-2172.88962</v>
      </c>
      <c r="DH181" s="126">
        <f>DG181-DH90</f>
        <v>-2331.62912</v>
      </c>
      <c r="DI181" s="127">
        <f>DH181</f>
        <v>-2331.62912</v>
      </c>
      <c r="DJ181" s="126">
        <f>DI181-DJ90</f>
        <v>-2491.32442</v>
      </c>
      <c r="DK181" s="126">
        <f>DJ181-DK90</f>
        <v>-2659.27618</v>
      </c>
      <c r="DL181" s="126">
        <f>DK181-DL90</f>
        <v>-2836.7500916</v>
      </c>
      <c r="DM181" s="126">
        <f>DL181-DM90</f>
        <v>-3024.0627016</v>
      </c>
      <c r="DN181" s="127">
        <f>DM181</f>
        <v>-3024.0627016</v>
      </c>
      <c r="DO181" s="126">
        <f>DN181-DO90</f>
        <v>-3212.5031556</v>
      </c>
      <c r="DP181" s="126">
        <f>DO181-DP90</f>
        <v>-3410.6862324</v>
      </c>
      <c r="DQ181" s="126">
        <f>DP181-DQ90</f>
        <v>-3620.105448088</v>
      </c>
      <c r="DR181" s="126">
        <f>DQ181-DR90</f>
        <v>-3841.134327888</v>
      </c>
      <c r="DS181" s="127">
        <f>DR181</f>
        <v>-3841.134327888</v>
      </c>
    </row>
    <row r="182" hidden="1" outlineLevel="1" spans="1:123">
      <c r="B182" s="198"/>
      <c r="C182" s="124"/>
      <c r="H182" s="124"/>
      <c r="M182" s="124"/>
      <c r="R182" s="124"/>
      <c r="W182" s="124"/>
      <c r="AB182" s="124"/>
      <c r="AG182" s="124"/>
      <c r="AL182" s="124"/>
      <c r="AQ182" s="124"/>
      <c r="AV182" s="124"/>
      <c r="BA182" s="124"/>
      <c r="BF182" s="124"/>
      <c r="BK182" s="124"/>
      <c r="BP182" s="124"/>
      <c r="BR182" s="172"/>
      <c r="BU182" s="124"/>
      <c r="BZ182" s="124"/>
      <c r="CD182" s="172"/>
      <c r="CE182" s="124"/>
      <c r="CJ182" s="124"/>
      <c r="CO182" s="124"/>
      <c r="CR182" s="172"/>
      <c r="CT182" s="124"/>
      <c r="CX182" s="172"/>
      <c r="CY182" s="124"/>
      <c r="CZ182" s="172"/>
      <c r="DD182" s="124"/>
      <c r="DE182" s="172"/>
      <c r="DF182" s="172"/>
      <c r="DI182" s="124"/>
      <c r="DN182" s="124"/>
      <c r="DS182" s="124"/>
    </row>
    <row r="183" collapsed="1" spans="1:123">
      <c r="B183" s="198" t="s">
        <v>134</v>
      </c>
      <c r="C183" s="124"/>
      <c r="H183" s="124"/>
      <c r="M183" s="124">
        <v>18.175944</v>
      </c>
      <c r="R183" s="124">
        <v>44.038565</v>
      </c>
      <c r="W183" s="124">
        <v>61.662</v>
      </c>
      <c r="AB183" s="124">
        <v>61.591</v>
      </c>
      <c r="AG183" s="124">
        <v>70.954</v>
      </c>
      <c r="AH183" s="125">
        <v>144.917</v>
      </c>
      <c r="AI183" s="125">
        <v>151.12</v>
      </c>
      <c r="AJ183" s="125">
        <v>153.119</v>
      </c>
      <c r="AK183" s="125">
        <f>AL183</f>
        <v>162.941</v>
      </c>
      <c r="AL183" s="124">
        <v>162.941</v>
      </c>
      <c r="AM183" s="125">
        <v>168.374</v>
      </c>
      <c r="AN183" s="125">
        <v>181.122</v>
      </c>
      <c r="AO183" s="125">
        <v>204.052</v>
      </c>
      <c r="AP183" s="125">
        <f>AQ183</f>
        <v>214.639</v>
      </c>
      <c r="AQ183" s="124">
        <v>214.639</v>
      </c>
      <c r="AR183" s="125">
        <v>222.878</v>
      </c>
      <c r="AS183" s="125">
        <v>228.794</v>
      </c>
      <c r="AT183" s="125">
        <v>243.626</v>
      </c>
      <c r="AU183" s="125">
        <f>AV183</f>
        <v>255.603</v>
      </c>
      <c r="AV183" s="124">
        <v>255.603</v>
      </c>
      <c r="AW183" s="125">
        <v>271.37</v>
      </c>
      <c r="AX183" s="125">
        <v>285.849</v>
      </c>
      <c r="AY183" s="125">
        <v>301.841</v>
      </c>
      <c r="AZ183" s="125">
        <f>BA183</f>
        <v>296.008</v>
      </c>
      <c r="BA183" s="124">
        <v>296.008</v>
      </c>
      <c r="BB183" s="125">
        <v>314.336</v>
      </c>
      <c r="BC183" s="125">
        <v>324.093</v>
      </c>
      <c r="BD183" s="125">
        <v>346.705</v>
      </c>
      <c r="BE183" s="125">
        <f>BF183</f>
        <v>349.605</v>
      </c>
      <c r="BF183" s="124">
        <v>349.605</v>
      </c>
      <c r="BG183" s="125">
        <v>377.813</v>
      </c>
      <c r="BH183" s="125">
        <v>395.01</v>
      </c>
      <c r="BI183" s="125">
        <v>399.658</v>
      </c>
      <c r="BJ183" s="125">
        <f>BK183</f>
        <v>423.499</v>
      </c>
      <c r="BK183" s="124">
        <v>423.499</v>
      </c>
      <c r="BL183" s="125">
        <v>398.833</v>
      </c>
      <c r="BM183" s="125">
        <v>426.961</v>
      </c>
      <c r="BN183" s="125">
        <v>440.403</v>
      </c>
      <c r="BO183" s="125">
        <v>473.642</v>
      </c>
      <c r="BP183" s="124">
        <f>BO183</f>
        <v>473.642</v>
      </c>
      <c r="BQ183" s="125">
        <v>472.262</v>
      </c>
      <c r="BR183" s="172">
        <v>487.546</v>
      </c>
      <c r="BS183" s="125">
        <v>531.25</v>
      </c>
      <c r="BT183" s="125">
        <v>567.237</v>
      </c>
      <c r="BU183" s="124">
        <f>BT183</f>
        <v>567.237</v>
      </c>
      <c r="BV183" s="125">
        <v>582.738</v>
      </c>
      <c r="BW183" s="125">
        <v>617.09</v>
      </c>
      <c r="BX183" s="125">
        <v>656.372</v>
      </c>
      <c r="BY183" s="125">
        <v>671.693</v>
      </c>
      <c r="BZ183" s="124">
        <f>SUM(BZ180:BZ181)</f>
        <v>671.693</v>
      </c>
      <c r="CA183" s="125">
        <v>659.265</v>
      </c>
      <c r="CB183" s="125">
        <v>698.514</v>
      </c>
      <c r="CC183" s="125">
        <v>719.88</v>
      </c>
      <c r="CD183" s="172">
        <v>745.687</v>
      </c>
      <c r="CE183" s="124">
        <f>SUM(CE180:CE181)</f>
        <v>745.687</v>
      </c>
      <c r="CF183" s="125">
        <v>774.685</v>
      </c>
      <c r="CG183" s="125">
        <v>806.387</v>
      </c>
      <c r="CH183" s="125">
        <v>876.489</v>
      </c>
      <c r="CI183" s="125">
        <v>927.71</v>
      </c>
      <c r="CJ183" s="124">
        <f>SUM(CJ180:CJ181)</f>
        <v>927.71</v>
      </c>
      <c r="CK183" s="125">
        <v>974.784</v>
      </c>
      <c r="CL183" s="125">
        <v>1059.859</v>
      </c>
      <c r="CM183" s="125">
        <v>1122.49</v>
      </c>
      <c r="CN183" s="125">
        <v>1269.614</v>
      </c>
      <c r="CO183" s="124">
        <f>SUM(CO180:CO181)</f>
        <v>1269.614</v>
      </c>
      <c r="CP183" s="125">
        <v>1312.793</v>
      </c>
      <c r="CQ183" s="125">
        <v>1367.172</v>
      </c>
      <c r="CR183" s="172">
        <v>1413.918</v>
      </c>
      <c r="CS183" s="125">
        <v>1545.811</v>
      </c>
      <c r="CT183" s="124">
        <f>SUM(CT180:CT181)</f>
        <v>1545.811</v>
      </c>
      <c r="CU183" s="125">
        <v>1561.185</v>
      </c>
      <c r="CV183" s="125">
        <v>1614.893</v>
      </c>
      <c r="CW183" s="125">
        <v>1697.759</v>
      </c>
      <c r="CX183" s="172">
        <v>1780.617</v>
      </c>
      <c r="CY183" s="124">
        <f t="shared" ref="CY183:DI183" si="456">SUM(CY180:CY181)</f>
        <v>1780.617</v>
      </c>
      <c r="CZ183" s="172">
        <v>1846.609</v>
      </c>
      <c r="DA183" s="125">
        <v>1917.361</v>
      </c>
      <c r="DB183" s="125">
        <v>1952.012</v>
      </c>
      <c r="DC183" s="125">
        <v>2033.72</v>
      </c>
      <c r="DD183" s="124">
        <f t="shared" ref="DD183" si="457">SUM(DD180:DD181)</f>
        <v>2033.72</v>
      </c>
      <c r="DE183" s="172">
        <v>2045.719</v>
      </c>
      <c r="DF183" s="172">
        <v>2046.363</v>
      </c>
      <c r="DG183" s="125">
        <f t="shared" si="456"/>
        <v>2093.54176</v>
      </c>
      <c r="DH183" s="125">
        <f t="shared" si="456"/>
        <v>2150.97826</v>
      </c>
      <c r="DI183" s="124">
        <f t="shared" si="456"/>
        <v>2150.97826</v>
      </c>
      <c r="DJ183" s="125">
        <f t="shared" ref="DJ183:DN183" si="458">SUM(DJ180:DJ181)</f>
        <v>2133.94856</v>
      </c>
      <c r="DK183" s="125">
        <f t="shared" si="458"/>
        <v>2133.63392</v>
      </c>
      <c r="DL183" s="125">
        <f t="shared" si="458"/>
        <v>2177.450034</v>
      </c>
      <c r="DM183" s="125">
        <f t="shared" si="458"/>
        <v>2232.254544</v>
      </c>
      <c r="DN183" s="124">
        <f t="shared" si="458"/>
        <v>2232.254544</v>
      </c>
      <c r="DO183" s="125">
        <f t="shared" ref="DO183:DS183" si="459">SUM(DO180:DO181)</f>
        <v>2203.599562</v>
      </c>
      <c r="DP183" s="125">
        <f t="shared" si="459"/>
        <v>2193.1700596</v>
      </c>
      <c r="DQ183" s="125">
        <f t="shared" si="459"/>
        <v>2231.595672584</v>
      </c>
      <c r="DR183" s="125">
        <f t="shared" si="459"/>
        <v>2281.737967184</v>
      </c>
      <c r="DS183" s="124">
        <f t="shared" si="459"/>
        <v>2281.737967184</v>
      </c>
    </row>
    <row r="184" hidden="1" outlineLevel="1" spans="1:123">
      <c r="B184" s="198"/>
      <c r="C184" s="124"/>
      <c r="H184" s="124"/>
      <c r="M184" s="124"/>
      <c r="R184" s="124"/>
      <c r="W184" s="124"/>
      <c r="AB184" s="124"/>
      <c r="AG184" s="124"/>
      <c r="AL184" s="124"/>
      <c r="AQ184" s="124"/>
      <c r="AV184" s="124"/>
      <c r="BA184" s="124"/>
      <c r="BF184" s="124"/>
      <c r="BK184" s="124"/>
      <c r="BP184" s="124"/>
      <c r="BR184" s="172"/>
      <c r="BU184" s="124"/>
      <c r="BZ184" s="124"/>
      <c r="CD184" s="172"/>
      <c r="CE184" s="124"/>
      <c r="CJ184" s="124"/>
      <c r="CO184" s="124"/>
      <c r="CR184" s="172"/>
      <c r="CT184" s="124"/>
      <c r="CX184" s="172"/>
      <c r="CY184" s="124"/>
      <c r="CZ184" s="172"/>
      <c r="DD184" s="124"/>
      <c r="DE184" s="172"/>
      <c r="DF184" s="172"/>
      <c r="DI184" s="124"/>
      <c r="DN184" s="124"/>
      <c r="DS184" s="124"/>
    </row>
    <row r="185" hidden="1" outlineLevel="1" spans="1:123">
      <c r="B185" s="198" t="s">
        <v>135</v>
      </c>
      <c r="C185" s="124"/>
      <c r="H185" s="124"/>
      <c r="M185" s="124">
        <v>4.416371</v>
      </c>
      <c r="R185" s="124">
        <v>9.86947694030031</v>
      </c>
      <c r="W185" s="124">
        <v>11.322488</v>
      </c>
      <c r="AB185" s="124">
        <f>($AQ$185/$M$185)^((1/6))*W185</f>
        <v>16.1462346881936</v>
      </c>
      <c r="AG185" s="124">
        <v>33.467</v>
      </c>
      <c r="AH185" s="125">
        <v>31.326302038239</v>
      </c>
      <c r="AI185" s="125">
        <v>31.326302038239</v>
      </c>
      <c r="AJ185" s="125">
        <v>31.326302038239</v>
      </c>
      <c r="AK185" s="125">
        <f>AL185</f>
        <v>39.548</v>
      </c>
      <c r="AL185" s="124">
        <v>39.548</v>
      </c>
      <c r="AM185" s="125">
        <v>46.353</v>
      </c>
      <c r="AN185" s="125">
        <v>46.353</v>
      </c>
      <c r="AO185" s="125">
        <v>46.353</v>
      </c>
      <c r="AP185" s="125">
        <f>AQ185</f>
        <v>37.14</v>
      </c>
      <c r="AQ185" s="124">
        <f>AQ188-AQ186</f>
        <v>37.14</v>
      </c>
      <c r="AR185" s="125">
        <v>46.353</v>
      </c>
      <c r="AS185" s="125">
        <v>46.353</v>
      </c>
      <c r="AT185" s="125">
        <v>46.353</v>
      </c>
      <c r="AU185" s="125">
        <f>AV185</f>
        <v>36.031</v>
      </c>
      <c r="AV185" s="124">
        <f>AV188-AV186</f>
        <v>36.031</v>
      </c>
      <c r="AW185" s="125">
        <v>36.031</v>
      </c>
      <c r="AX185" s="125">
        <v>36.031</v>
      </c>
      <c r="AY185" s="125">
        <v>36.031</v>
      </c>
      <c r="AZ185" s="125">
        <f>BA185</f>
        <v>34.427</v>
      </c>
      <c r="BA185" s="124">
        <f>BA188-BA186</f>
        <v>34.427</v>
      </c>
      <c r="BB185" s="125">
        <f>BB188-BB186</f>
        <v>26.389</v>
      </c>
      <c r="BC185" s="125">
        <f>BC188-BC186</f>
        <v>26.163</v>
      </c>
      <c r="BD185" s="125">
        <f>BD188-BD186</f>
        <v>26.163</v>
      </c>
      <c r="BE185" s="125">
        <f>BF185</f>
        <v>33.851</v>
      </c>
      <c r="BF185" s="124">
        <f>BF188-BF186</f>
        <v>33.851</v>
      </c>
      <c r="BG185" s="125">
        <v>26.163</v>
      </c>
      <c r="BH185" s="125">
        <v>26.163</v>
      </c>
      <c r="BI185" s="125">
        <v>26.163</v>
      </c>
      <c r="BJ185" s="125">
        <f>BK185</f>
        <v>34.364</v>
      </c>
      <c r="BK185" s="124">
        <f>BK188-BK186</f>
        <v>34.364</v>
      </c>
      <c r="BL185" s="125">
        <v>34.364</v>
      </c>
      <c r="BM185" s="125">
        <v>34.364</v>
      </c>
      <c r="BN185" s="125">
        <v>34.364</v>
      </c>
      <c r="BO185" s="172">
        <f>BO188-BO186</f>
        <v>34.567</v>
      </c>
      <c r="BP185" s="173">
        <f>BO185</f>
        <v>34.567</v>
      </c>
      <c r="BQ185" s="125">
        <f>BQ188-BQ186</f>
        <v>34.249</v>
      </c>
      <c r="BR185" s="172">
        <f>BQ185-BR106</f>
        <v>34.249</v>
      </c>
      <c r="BS185" s="172">
        <f>BR185-BS106</f>
        <v>34.249</v>
      </c>
      <c r="BT185" s="172">
        <f>BT188-BT186</f>
        <v>34.127</v>
      </c>
      <c r="BU185" s="173">
        <f>BT185</f>
        <v>34.127</v>
      </c>
      <c r="BV185" s="172">
        <f>BV188-BV186</f>
        <v>33.982</v>
      </c>
      <c r="BW185" s="172">
        <f>BW188-BW186</f>
        <v>34.072</v>
      </c>
      <c r="BX185" s="172">
        <f>BX188-BX186</f>
        <v>34.366</v>
      </c>
      <c r="BY185" s="172">
        <f>BY188-BY186</f>
        <v>34.311</v>
      </c>
      <c r="BZ185" s="173">
        <f>BY185</f>
        <v>34.311</v>
      </c>
      <c r="CA185" s="172">
        <f>CA188-CA186</f>
        <v>33.932</v>
      </c>
      <c r="CB185" s="172">
        <f>CB188-CB186</f>
        <v>480.952</v>
      </c>
      <c r="CC185" s="172">
        <f>CC188-CC186</f>
        <v>478.796</v>
      </c>
      <c r="CD185" s="172">
        <f>CD188-CD186</f>
        <v>476.845</v>
      </c>
      <c r="CE185" s="173">
        <f>CD185</f>
        <v>476.845</v>
      </c>
      <c r="CF185" s="172">
        <f>CF188-CF186</f>
        <v>474.888</v>
      </c>
      <c r="CG185" s="172">
        <f>CG188-CG186</f>
        <v>472.602</v>
      </c>
      <c r="CH185" s="172">
        <f>CH188-CH186</f>
        <v>470.447</v>
      </c>
      <c r="CI185" s="172">
        <f>CI188-CI186</f>
        <v>468.067</v>
      </c>
      <c r="CJ185" s="173">
        <f>CI185</f>
        <v>468.067</v>
      </c>
      <c r="CK185" s="172">
        <f>CK188-CK186</f>
        <v>465.828</v>
      </c>
      <c r="CL185" s="172">
        <f>CL188-CL186</f>
        <v>463.664</v>
      </c>
      <c r="CM185" s="172">
        <f>CM188-CM186</f>
        <v>461.122</v>
      </c>
      <c r="CN185" s="630">
        <f>CN188-CN186</f>
        <v>55.993</v>
      </c>
      <c r="CO185" s="173">
        <f>CN185</f>
        <v>55.993</v>
      </c>
      <c r="CP185" s="630">
        <f>CP188-CP186</f>
        <v>54.011</v>
      </c>
      <c r="CQ185" s="172">
        <f>CQ188-CQ186</f>
        <v>52.268</v>
      </c>
      <c r="CR185" s="172">
        <f>CR188-CR186</f>
        <v>33.8</v>
      </c>
      <c r="CS185" s="172">
        <f>CS188-CS186</f>
        <v>33.971</v>
      </c>
      <c r="CT185" s="173">
        <f>CS185</f>
        <v>33.971</v>
      </c>
      <c r="CU185" s="172">
        <f>CU188-CU186</f>
        <v>33.88</v>
      </c>
      <c r="CV185" s="172">
        <f>CV188-CV186</f>
        <v>33.813</v>
      </c>
      <c r="CW185" s="172">
        <f>CW188-CW186</f>
        <v>188.073</v>
      </c>
      <c r="CX185" s="172">
        <f>CX188-CX186</f>
        <v>181.079</v>
      </c>
      <c r="CY185" s="173">
        <f>CX185</f>
        <v>181.079</v>
      </c>
      <c r="CZ185" s="172">
        <f>CZ188-CZ186</f>
        <v>187.889</v>
      </c>
      <c r="DA185" s="172">
        <f>DA188-DA186</f>
        <v>192.103</v>
      </c>
      <c r="DB185" s="172">
        <f>DB188-DB186</f>
        <v>192.878</v>
      </c>
      <c r="DC185" s="172">
        <f>DC188-DC186</f>
        <v>201.082</v>
      </c>
      <c r="DD185" s="173">
        <f>DC185</f>
        <v>201.082</v>
      </c>
      <c r="DE185" s="172">
        <f>DE188-DE186</f>
        <v>199.245</v>
      </c>
      <c r="DF185" s="172">
        <f>DF188-DF186</f>
        <v>198.258</v>
      </c>
      <c r="DG185" s="172">
        <f>DF185-DG106</f>
        <v>198.258</v>
      </c>
      <c r="DH185" s="172">
        <f>DG185-DH106</f>
        <v>198.258</v>
      </c>
      <c r="DI185" s="173">
        <f>DH185</f>
        <v>198.258</v>
      </c>
      <c r="DJ185" s="172">
        <f>DI185-DJ106</f>
        <v>198.258</v>
      </c>
      <c r="DK185" s="172">
        <f>DJ185-DK106</f>
        <v>198.258</v>
      </c>
      <c r="DL185" s="172">
        <f>DK185-DL106</f>
        <v>198.258</v>
      </c>
      <c r="DM185" s="172">
        <f>DL185-DM106</f>
        <v>198.258</v>
      </c>
      <c r="DN185" s="173">
        <f>DM185</f>
        <v>198.258</v>
      </c>
      <c r="DO185" s="172">
        <f>DN185-DO106</f>
        <v>198.258</v>
      </c>
      <c r="DP185" s="172">
        <f>DO185-DP106</f>
        <v>198.258</v>
      </c>
      <c r="DQ185" s="172">
        <f>DP185-DQ106</f>
        <v>198.258</v>
      </c>
      <c r="DR185" s="172">
        <f>DQ185-DR106</f>
        <v>198.258</v>
      </c>
      <c r="DS185" s="173">
        <f>DR185</f>
        <v>198.258</v>
      </c>
    </row>
    <row r="186" hidden="1" outlineLevel="1" spans="1:123">
      <c r="B186" s="198" t="s">
        <v>136</v>
      </c>
      <c r="C186" s="124"/>
      <c r="H186" s="124"/>
      <c r="M186" s="124">
        <f>M188-M185</f>
        <v>-2.27636</v>
      </c>
      <c r="R186" s="124">
        <f>R188-R185</f>
        <v>-2.70804794030031</v>
      </c>
      <c r="W186" s="124">
        <f>W188-W185</f>
        <v>-3.936282</v>
      </c>
      <c r="AB186" s="124">
        <f>AB188-AB185</f>
        <v>-8.99523468819362</v>
      </c>
      <c r="AG186" s="124">
        <f>AG188-AG185</f>
        <v>-26.629</v>
      </c>
      <c r="AH186" s="125">
        <v>-25.790302038239</v>
      </c>
      <c r="AI186" s="125">
        <v>-25.790302038239</v>
      </c>
      <c r="AJ186" s="125">
        <v>-25.790302038239</v>
      </c>
      <c r="AK186" s="125">
        <f>AL186</f>
        <v>-34.012</v>
      </c>
      <c r="AL186" s="124">
        <f>AL188-AL185</f>
        <v>-34.012</v>
      </c>
      <c r="AM186" s="125">
        <v>-39.761</v>
      </c>
      <c r="AN186" s="125">
        <v>-39.761</v>
      </c>
      <c r="AO186" s="125">
        <v>-39.761</v>
      </c>
      <c r="AP186" s="125">
        <f>AQ186</f>
        <v>-6.939</v>
      </c>
      <c r="AQ186" s="124">
        <f>-6.939</f>
        <v>-6.939</v>
      </c>
      <c r="AR186" s="125">
        <v>-39.761</v>
      </c>
      <c r="AS186" s="125">
        <v>-17.129</v>
      </c>
      <c r="AT186" s="125">
        <v>-17.362</v>
      </c>
      <c r="AU186" s="125">
        <f>AV186</f>
        <v>-7.83</v>
      </c>
      <c r="AV186" s="124">
        <f>-7.83</f>
        <v>-7.83</v>
      </c>
      <c r="AW186" s="125">
        <v>-7.924</v>
      </c>
      <c r="AX186" s="125">
        <v>-8.093</v>
      </c>
      <c r="AY186" s="125">
        <v>-8.573</v>
      </c>
      <c r="AZ186" s="125">
        <f>BA186</f>
        <v>-8.264</v>
      </c>
      <c r="BA186" s="124">
        <v>-8.264</v>
      </c>
      <c r="BB186" s="125">
        <v>-0.113</v>
      </c>
      <c r="BC186" s="125">
        <v>-0.552</v>
      </c>
      <c r="BD186" s="125">
        <v>-0.756</v>
      </c>
      <c r="BE186" s="125">
        <f>BF186</f>
        <v>-9.074</v>
      </c>
      <c r="BF186" s="124">
        <v>-9.074</v>
      </c>
      <c r="BG186" s="125">
        <v>-0.843</v>
      </c>
      <c r="BH186" s="125">
        <v>-1.266</v>
      </c>
      <c r="BI186" s="125">
        <v>-1.596</v>
      </c>
      <c r="BJ186" s="125">
        <f>BK186</f>
        <v>-9.807</v>
      </c>
      <c r="BK186" s="124">
        <v>-9.807</v>
      </c>
      <c r="BL186" s="125">
        <v>-10.116</v>
      </c>
      <c r="BM186" s="125">
        <v>-9.615</v>
      </c>
      <c r="BN186" s="125">
        <v>-9.888</v>
      </c>
      <c r="BO186" s="172">
        <v>-9.888</v>
      </c>
      <c r="BP186" s="124">
        <f t="shared" ref="BP186:CT186" si="460">BO186</f>
        <v>-9.888</v>
      </c>
      <c r="BQ186" s="125">
        <f t="shared" si="460"/>
        <v>-9.888</v>
      </c>
      <c r="BR186" s="172">
        <f t="shared" si="460"/>
        <v>-9.888</v>
      </c>
      <c r="BS186" s="172">
        <f t="shared" si="460"/>
        <v>-9.888</v>
      </c>
      <c r="BT186" s="172">
        <f t="shared" si="460"/>
        <v>-9.888</v>
      </c>
      <c r="BU186" s="173">
        <f t="shared" si="460"/>
        <v>-9.888</v>
      </c>
      <c r="BV186" s="172">
        <f t="shared" si="460"/>
        <v>-9.888</v>
      </c>
      <c r="BW186" s="172">
        <f t="shared" si="460"/>
        <v>-9.888</v>
      </c>
      <c r="BX186" s="172">
        <f t="shared" si="460"/>
        <v>-9.888</v>
      </c>
      <c r="BY186" s="169">
        <f t="shared" si="460"/>
        <v>-9.888</v>
      </c>
      <c r="BZ186" s="173">
        <f t="shared" si="460"/>
        <v>-9.888</v>
      </c>
      <c r="CA186" s="172">
        <f t="shared" si="460"/>
        <v>-9.888</v>
      </c>
      <c r="CB186" s="169">
        <f t="shared" si="460"/>
        <v>-9.888</v>
      </c>
      <c r="CC186" s="169">
        <f t="shared" si="460"/>
        <v>-9.888</v>
      </c>
      <c r="CD186" s="169">
        <f t="shared" si="460"/>
        <v>-9.888</v>
      </c>
      <c r="CE186" s="173">
        <f t="shared" si="460"/>
        <v>-9.888</v>
      </c>
      <c r="CF186" s="169">
        <f t="shared" si="460"/>
        <v>-9.888</v>
      </c>
      <c r="CG186" s="169">
        <f t="shared" si="460"/>
        <v>-9.888</v>
      </c>
      <c r="CH186" s="169">
        <f t="shared" si="460"/>
        <v>-9.888</v>
      </c>
      <c r="CI186" s="169">
        <f t="shared" si="460"/>
        <v>-9.888</v>
      </c>
      <c r="CJ186" s="173">
        <f t="shared" si="460"/>
        <v>-9.888</v>
      </c>
      <c r="CK186" s="169">
        <f t="shared" si="460"/>
        <v>-9.888</v>
      </c>
      <c r="CL186" s="169">
        <f t="shared" si="460"/>
        <v>-9.888</v>
      </c>
      <c r="CM186" s="169">
        <f t="shared" si="460"/>
        <v>-9.888</v>
      </c>
      <c r="CN186" s="169">
        <f t="shared" si="460"/>
        <v>-9.888</v>
      </c>
      <c r="CO186" s="173">
        <f t="shared" si="460"/>
        <v>-9.888</v>
      </c>
      <c r="CP186" s="169">
        <f t="shared" si="460"/>
        <v>-9.888</v>
      </c>
      <c r="CQ186" s="169">
        <f t="shared" si="460"/>
        <v>-9.888</v>
      </c>
      <c r="CR186" s="169">
        <f t="shared" si="460"/>
        <v>-9.888</v>
      </c>
      <c r="CS186" s="169">
        <f t="shared" si="460"/>
        <v>-9.888</v>
      </c>
      <c r="CT186" s="173">
        <f t="shared" si="460"/>
        <v>-9.888</v>
      </c>
      <c r="CU186" s="169">
        <v>-9.888</v>
      </c>
      <c r="CV186" s="169">
        <v>-9.888</v>
      </c>
      <c r="CW186" s="169">
        <v>-9.888</v>
      </c>
      <c r="CX186" s="169">
        <v>-9.888</v>
      </c>
      <c r="CY186" s="173">
        <f>CX186</f>
        <v>-9.888</v>
      </c>
      <c r="CZ186" s="169">
        <v>-9.888</v>
      </c>
      <c r="DA186" s="169">
        <v>-9.888</v>
      </c>
      <c r="DB186" s="169">
        <v>-9.888</v>
      </c>
      <c r="DC186" s="169">
        <v>-9.888</v>
      </c>
      <c r="DD186" s="173">
        <f>DC186</f>
        <v>-9.888</v>
      </c>
      <c r="DE186" s="169">
        <v>-9.888</v>
      </c>
      <c r="DF186" s="169">
        <v>-9.888</v>
      </c>
      <c r="DG186" s="172">
        <f t="shared" ref="DG186:DS186" si="461">DF186</f>
        <v>-9.888</v>
      </c>
      <c r="DH186" s="172">
        <f t="shared" si="461"/>
        <v>-9.888</v>
      </c>
      <c r="DI186" s="173">
        <f t="shared" si="461"/>
        <v>-9.888</v>
      </c>
      <c r="DJ186" s="172">
        <f t="shared" si="461"/>
        <v>-9.888</v>
      </c>
      <c r="DK186" s="172">
        <f t="shared" si="461"/>
        <v>-9.888</v>
      </c>
      <c r="DL186" s="172">
        <f t="shared" si="461"/>
        <v>-9.888</v>
      </c>
      <c r="DM186" s="172">
        <f t="shared" si="461"/>
        <v>-9.888</v>
      </c>
      <c r="DN186" s="173">
        <f t="shared" si="461"/>
        <v>-9.888</v>
      </c>
      <c r="DO186" s="172">
        <f t="shared" si="461"/>
        <v>-9.888</v>
      </c>
      <c r="DP186" s="172">
        <f t="shared" si="461"/>
        <v>-9.888</v>
      </c>
      <c r="DQ186" s="172">
        <f t="shared" si="461"/>
        <v>-9.888</v>
      </c>
      <c r="DR186" s="172">
        <f t="shared" si="461"/>
        <v>-9.888</v>
      </c>
      <c r="DS186" s="173">
        <f t="shared" si="461"/>
        <v>-9.888</v>
      </c>
    </row>
    <row r="187" hidden="1" outlineLevel="1" spans="1:123">
      <c r="B187" s="198"/>
      <c r="C187" s="124"/>
      <c r="H187" s="124"/>
      <c r="M187" s="124"/>
      <c r="R187" s="124"/>
      <c r="W187" s="124"/>
      <c r="AB187" s="124"/>
      <c r="AG187" s="124"/>
      <c r="AL187" s="124"/>
      <c r="AQ187" s="124"/>
      <c r="AV187" s="124"/>
      <c r="BA187" s="124"/>
      <c r="BF187" s="124"/>
      <c r="BK187" s="124"/>
      <c r="BP187" s="124"/>
      <c r="BR187" s="172"/>
      <c r="BU187" s="124"/>
      <c r="BZ187" s="124"/>
      <c r="CD187" s="172"/>
      <c r="CE187" s="124"/>
      <c r="CJ187" s="124"/>
      <c r="CO187" s="124"/>
      <c r="CR187" s="172"/>
      <c r="CT187" s="124"/>
      <c r="CX187" s="631"/>
      <c r="CY187" s="124"/>
      <c r="CZ187" s="172"/>
      <c r="DB187" s="172"/>
      <c r="DD187" s="124"/>
      <c r="DE187" s="172"/>
      <c r="DF187" s="172"/>
      <c r="DI187" s="124"/>
      <c r="DN187" s="124"/>
      <c r="DS187" s="124"/>
    </row>
    <row r="188" collapsed="1" spans="1:123">
      <c r="B188" s="198" t="s">
        <v>137</v>
      </c>
      <c r="C188" s="124"/>
      <c r="H188" s="124"/>
      <c r="M188" s="124">
        <v>2.140011</v>
      </c>
      <c r="R188" s="124">
        <v>7.161429</v>
      </c>
      <c r="W188" s="124">
        <v>7.386206</v>
      </c>
      <c r="AB188" s="124">
        <f>7.151</f>
        <v>7.151</v>
      </c>
      <c r="AG188" s="124">
        <v>6.838</v>
      </c>
      <c r="AH188" s="125">
        <v>5.536</v>
      </c>
      <c r="AI188" s="125">
        <v>5.536</v>
      </c>
      <c r="AJ188" s="125">
        <v>5.536</v>
      </c>
      <c r="AK188" s="125">
        <f>AL188</f>
        <v>5.536</v>
      </c>
      <c r="AL188" s="124">
        <v>5.536</v>
      </c>
      <c r="AM188" s="125">
        <v>6.592</v>
      </c>
      <c r="AN188" s="125">
        <v>6.592</v>
      </c>
      <c r="AO188" s="125">
        <v>6.592</v>
      </c>
      <c r="AP188" s="125">
        <f>AQ188</f>
        <v>30.201</v>
      </c>
      <c r="AQ188" s="124">
        <v>30.201</v>
      </c>
      <c r="AR188" s="125">
        <v>6.592</v>
      </c>
      <c r="AS188" s="125">
        <v>29.224</v>
      </c>
      <c r="AT188" s="125">
        <v>28.991</v>
      </c>
      <c r="AU188" s="125">
        <f>AV188</f>
        <v>28.201</v>
      </c>
      <c r="AV188" s="124">
        <v>28.201</v>
      </c>
      <c r="AW188" s="125">
        <v>28.107</v>
      </c>
      <c r="AX188" s="125">
        <v>27.938</v>
      </c>
      <c r="AY188" s="125">
        <v>27.458</v>
      </c>
      <c r="AZ188" s="125">
        <f>BA188</f>
        <v>26.163</v>
      </c>
      <c r="BA188" s="124">
        <v>26.163</v>
      </c>
      <c r="BB188" s="125">
        <v>26.276</v>
      </c>
      <c r="BC188" s="125">
        <v>25.611</v>
      </c>
      <c r="BD188" s="125">
        <v>25.407</v>
      </c>
      <c r="BE188" s="125">
        <f>BF188</f>
        <v>24.777</v>
      </c>
      <c r="BF188" s="124">
        <v>24.777</v>
      </c>
      <c r="BG188" s="125">
        <v>25.32</v>
      </c>
      <c r="BH188" s="125">
        <v>24.897</v>
      </c>
      <c r="BI188" s="125">
        <v>24.567</v>
      </c>
      <c r="BJ188" s="125">
        <f>BK188</f>
        <v>24.557</v>
      </c>
      <c r="BK188" s="124">
        <v>24.557</v>
      </c>
      <c r="BL188" s="125">
        <v>24.248</v>
      </c>
      <c r="BM188" s="125">
        <v>24.749</v>
      </c>
      <c r="BN188" s="125">
        <v>24.476</v>
      </c>
      <c r="BO188" s="172">
        <v>24.679</v>
      </c>
      <c r="BP188" s="124">
        <f>SUM(BP185:BP186)</f>
        <v>24.679</v>
      </c>
      <c r="BQ188" s="125">
        <v>24.361</v>
      </c>
      <c r="BR188" s="172">
        <v>24.255</v>
      </c>
      <c r="BS188" s="125">
        <v>24.237</v>
      </c>
      <c r="BT188" s="125">
        <v>24.239</v>
      </c>
      <c r="BU188" s="124">
        <f>BT188</f>
        <v>24.239</v>
      </c>
      <c r="BV188" s="125">
        <v>24.094</v>
      </c>
      <c r="BW188" s="125">
        <v>24.184</v>
      </c>
      <c r="BX188" s="125">
        <v>24.478</v>
      </c>
      <c r="BY188" s="172">
        <v>24.423</v>
      </c>
      <c r="BZ188" s="124">
        <f>SUM(BZ185:BZ186)</f>
        <v>24.423</v>
      </c>
      <c r="CA188" s="125">
        <v>24.044</v>
      </c>
      <c r="CB188" s="125">
        <f>386.593+84.471</f>
        <v>471.064</v>
      </c>
      <c r="CC188" s="125">
        <f>386.632+82.276</f>
        <v>468.908</v>
      </c>
      <c r="CD188" s="172">
        <f>386.877+80.08</f>
        <v>466.957</v>
      </c>
      <c r="CE188" s="124">
        <f>SUM(CE185:CE186)</f>
        <v>466.957</v>
      </c>
      <c r="CF188" s="125">
        <f>387.115+77.885</f>
        <v>465</v>
      </c>
      <c r="CG188" s="172">
        <f>387.024+75.69</f>
        <v>462.714</v>
      </c>
      <c r="CH188" s="125">
        <f>387.065+73.494</f>
        <v>460.559</v>
      </c>
      <c r="CI188" s="125">
        <f>386.88+71.299</f>
        <v>458.179</v>
      </c>
      <c r="CJ188" s="124">
        <f>SUM(CJ185:CJ186)</f>
        <v>458.179</v>
      </c>
      <c r="CK188" s="125">
        <f>386.837+69.103</f>
        <v>455.94</v>
      </c>
      <c r="CL188" s="172">
        <f>386.868+66.908</f>
        <v>453.776</v>
      </c>
      <c r="CM188" s="125">
        <f>386.515+64.719</f>
        <v>451.234</v>
      </c>
      <c r="CN188" s="125">
        <f>24.144+21.961</f>
        <v>46.105</v>
      </c>
      <c r="CO188" s="124">
        <f>SUM(CO185:CO186)</f>
        <v>46.105</v>
      </c>
      <c r="CP188" s="125">
        <v>44.123</v>
      </c>
      <c r="CQ188" s="125">
        <f>24.176+18.204</f>
        <v>42.38</v>
      </c>
      <c r="CR188" s="172">
        <v>23.912</v>
      </c>
      <c r="CS188" s="172">
        <v>24.083</v>
      </c>
      <c r="CT188" s="124">
        <f>SUM(CT185:CT186)</f>
        <v>24.083</v>
      </c>
      <c r="CU188" s="125">
        <v>23.992</v>
      </c>
      <c r="CV188" s="125">
        <v>23.925</v>
      </c>
      <c r="CW188" s="125">
        <f>164.462+13.723</f>
        <v>178.185</v>
      </c>
      <c r="CX188" s="172">
        <f>159.518+11.673</f>
        <v>171.191</v>
      </c>
      <c r="CY188" s="124">
        <f>SUM(CY185:CY186)</f>
        <v>171.191</v>
      </c>
      <c r="CZ188" s="172">
        <f>167.359+10.642</f>
        <v>178.001</v>
      </c>
      <c r="DA188" s="125">
        <f>172.907+9.308</f>
        <v>182.215</v>
      </c>
      <c r="DB188" s="172">
        <f>175.301+7.689</f>
        <v>182.99</v>
      </c>
      <c r="DC188" s="172">
        <f>184.911+6.283</f>
        <v>191.194</v>
      </c>
      <c r="DD188" s="124">
        <f>SUM(DD185:DD186)</f>
        <v>191.194</v>
      </c>
      <c r="DE188" s="172">
        <f>184.958+4.399</f>
        <v>189.357</v>
      </c>
      <c r="DF188" s="172">
        <f>185.84+2.53</f>
        <v>188.37</v>
      </c>
      <c r="DG188" s="125">
        <f>DG186+DG185</f>
        <v>188.37</v>
      </c>
      <c r="DH188" s="125">
        <f>DH186+DH185</f>
        <v>188.37</v>
      </c>
      <c r="DI188" s="124">
        <f>SUM(DI185:DI186)</f>
        <v>188.37</v>
      </c>
      <c r="DJ188" s="125">
        <f>DJ186+DJ185</f>
        <v>188.37</v>
      </c>
      <c r="DK188" s="125">
        <f>DK186+DK185</f>
        <v>188.37</v>
      </c>
      <c r="DL188" s="125">
        <f>DL186+DL185</f>
        <v>188.37</v>
      </c>
      <c r="DM188" s="125">
        <f>DM186+DM185</f>
        <v>188.37</v>
      </c>
      <c r="DN188" s="124">
        <f>SUM(DN185:DN186)</f>
        <v>188.37</v>
      </c>
      <c r="DO188" s="125">
        <f>DO186+DO185</f>
        <v>188.37</v>
      </c>
      <c r="DP188" s="125">
        <f>DP186+DP185</f>
        <v>188.37</v>
      </c>
      <c r="DQ188" s="125">
        <f>DQ186+DQ185</f>
        <v>188.37</v>
      </c>
      <c r="DR188" s="125">
        <f>DR186+DR185</f>
        <v>188.37</v>
      </c>
      <c r="DS188" s="124">
        <f>SUM(DS185:DS186)</f>
        <v>188.37</v>
      </c>
    </row>
    <row r="189" spans="1:123">
      <c r="B189" s="198" t="s">
        <v>103</v>
      </c>
      <c r="C189" s="124"/>
      <c r="H189" s="124"/>
      <c r="M189" s="124">
        <v>0</v>
      </c>
      <c r="R189" s="124">
        <v>0</v>
      </c>
      <c r="W189" s="124">
        <v>0</v>
      </c>
      <c r="AB189" s="124">
        <v>0</v>
      </c>
      <c r="AG189" s="124">
        <v>0</v>
      </c>
      <c r="AH189" s="125">
        <v>0</v>
      </c>
      <c r="AI189" s="125">
        <v>0</v>
      </c>
      <c r="AJ189" s="125">
        <v>0</v>
      </c>
      <c r="AK189" s="125">
        <f>AL189</f>
        <v>0</v>
      </c>
      <c r="AL189" s="124">
        <v>0</v>
      </c>
      <c r="AM189" s="125">
        <v>0</v>
      </c>
      <c r="AN189" s="125">
        <v>0</v>
      </c>
      <c r="AO189" s="125">
        <v>0</v>
      </c>
      <c r="AP189" s="125">
        <f>AQ189</f>
        <v>15.033</v>
      </c>
      <c r="AQ189" s="124">
        <v>15.033</v>
      </c>
      <c r="AR189" s="125">
        <v>15.005</v>
      </c>
      <c r="AS189" s="125">
        <v>13.839</v>
      </c>
      <c r="AT189" s="125">
        <v>16.103</v>
      </c>
      <c r="AU189" s="125">
        <f>AV189</f>
        <v>18.3</v>
      </c>
      <c r="AV189" s="124">
        <v>18.3</v>
      </c>
      <c r="AW189" s="125">
        <v>4.995</v>
      </c>
      <c r="AX189" s="125">
        <v>4.992</v>
      </c>
      <c r="AY189" s="125">
        <v>4.798</v>
      </c>
      <c r="AZ189" s="125">
        <f>BA189</f>
        <v>16.018</v>
      </c>
      <c r="BA189" s="124">
        <v>16.018</v>
      </c>
      <c r="BB189" s="125">
        <v>16.294</v>
      </c>
      <c r="BC189" s="125">
        <v>15.667</v>
      </c>
      <c r="BD189" s="125">
        <v>10.759</v>
      </c>
      <c r="BE189" s="125">
        <f>BF189</f>
        <v>11.802</v>
      </c>
      <c r="BF189" s="124">
        <v>11.802</v>
      </c>
      <c r="BG189" s="125">
        <v>13.044</v>
      </c>
      <c r="BH189" s="125">
        <v>12.696</v>
      </c>
      <c r="BI189" s="125">
        <v>12.446</v>
      </c>
      <c r="BJ189" s="125">
        <f>BK189</f>
        <v>26.256</v>
      </c>
      <c r="BK189" s="124">
        <v>26.256</v>
      </c>
      <c r="BL189" s="125">
        <v>32.509</v>
      </c>
      <c r="BM189" s="125">
        <v>40.016</v>
      </c>
      <c r="BN189" s="125">
        <v>37.583</v>
      </c>
      <c r="BO189" s="172">
        <v>32.491</v>
      </c>
      <c r="BP189" s="124">
        <f>BO189</f>
        <v>32.491</v>
      </c>
      <c r="BQ189" s="125">
        <v>30.923</v>
      </c>
      <c r="BR189" s="172">
        <v>28.345</v>
      </c>
      <c r="BS189" s="172">
        <v>28.155</v>
      </c>
      <c r="BT189" s="172">
        <v>26.549</v>
      </c>
      <c r="BU189" s="173">
        <f>BT189</f>
        <v>26.549</v>
      </c>
      <c r="BV189" s="172">
        <v>26.312</v>
      </c>
      <c r="BW189" s="172">
        <v>26.296</v>
      </c>
      <c r="BX189" s="172">
        <v>26.339</v>
      </c>
      <c r="BY189" s="172">
        <v>31.435</v>
      </c>
      <c r="BZ189" s="173">
        <f>BY189</f>
        <v>31.435</v>
      </c>
      <c r="CA189" s="172">
        <v>31.19</v>
      </c>
      <c r="CB189" s="172">
        <v>31.591</v>
      </c>
      <c r="CC189" s="172">
        <v>31.562</v>
      </c>
      <c r="CD189" s="172">
        <v>6.731</v>
      </c>
      <c r="CE189" s="173">
        <f>CD189</f>
        <v>6.731</v>
      </c>
      <c r="CF189" s="172">
        <v>6.773</v>
      </c>
      <c r="CG189" s="172">
        <v>6.564</v>
      </c>
      <c r="CH189" s="172">
        <v>6.804</v>
      </c>
      <c r="CI189" s="172">
        <v>6.091</v>
      </c>
      <c r="CJ189" s="173">
        <f>CI189</f>
        <v>6.091</v>
      </c>
      <c r="CK189" s="172">
        <v>6.09</v>
      </c>
      <c r="CL189" s="172">
        <v>6.025</v>
      </c>
      <c r="CM189" s="172">
        <v>5.587</v>
      </c>
      <c r="CN189" s="172">
        <v>6.402</v>
      </c>
      <c r="CO189" s="173">
        <f>CN189</f>
        <v>6.402</v>
      </c>
      <c r="CP189" s="172">
        <v>6.13</v>
      </c>
      <c r="CQ189" s="172">
        <v>6.188</v>
      </c>
      <c r="CR189" s="172">
        <v>5.896</v>
      </c>
      <c r="CS189" s="172">
        <v>9.176</v>
      </c>
      <c r="CT189" s="173">
        <f>CS189</f>
        <v>9.176</v>
      </c>
      <c r="CU189" s="172">
        <v>9.099</v>
      </c>
      <c r="CV189" s="172">
        <v>9.098</v>
      </c>
      <c r="CW189" s="172">
        <v>9.253</v>
      </c>
      <c r="CX189" s="172">
        <v>17.085</v>
      </c>
      <c r="CY189" s="173">
        <f t="shared" ref="CY189:DD191" si="462">CX189</f>
        <v>17.085</v>
      </c>
      <c r="CZ189" s="172">
        <v>17.598</v>
      </c>
      <c r="DA189" s="172">
        <v>21.417</v>
      </c>
      <c r="DB189" s="172">
        <v>21.581</v>
      </c>
      <c r="DC189" s="172">
        <v>24.037</v>
      </c>
      <c r="DD189" s="173">
        <f t="shared" si="462"/>
        <v>24.037</v>
      </c>
      <c r="DE189" s="172">
        <v>24.778</v>
      </c>
      <c r="DF189" s="172">
        <v>24.537</v>
      </c>
      <c r="DG189" s="596">
        <f t="shared" ref="DG189:DI191" si="463">DF189</f>
        <v>24.537</v>
      </c>
      <c r="DH189" s="596">
        <f t="shared" si="463"/>
        <v>24.537</v>
      </c>
      <c r="DI189" s="173">
        <f t="shared" si="463"/>
        <v>24.537</v>
      </c>
      <c r="DJ189" s="596">
        <f t="shared" ref="DJ189:DJ191" si="464">DI189</f>
        <v>24.537</v>
      </c>
      <c r="DK189" s="596">
        <f t="shared" ref="DK189:DK191" si="465">DJ189</f>
        <v>24.537</v>
      </c>
      <c r="DL189" s="596">
        <f t="shared" ref="DL189:DL191" si="466">DK189</f>
        <v>24.537</v>
      </c>
      <c r="DM189" s="596">
        <f t="shared" ref="DM189:DM191" si="467">DL189</f>
        <v>24.537</v>
      </c>
      <c r="DN189" s="173">
        <f t="shared" ref="DN189:DN191" si="468">DM189</f>
        <v>24.537</v>
      </c>
      <c r="DO189" s="596">
        <f t="shared" ref="DO189:DO191" si="469">DN189</f>
        <v>24.537</v>
      </c>
      <c r="DP189" s="596">
        <f t="shared" ref="DP189:DP191" si="470">DO189</f>
        <v>24.537</v>
      </c>
      <c r="DQ189" s="596">
        <f t="shared" ref="DQ189:DQ191" si="471">DP189</f>
        <v>24.537</v>
      </c>
      <c r="DR189" s="596">
        <f t="shared" ref="DR189:DR191" si="472">DQ189</f>
        <v>24.537</v>
      </c>
      <c r="DS189" s="173">
        <f t="shared" ref="DS189:DS191" si="473">DR189</f>
        <v>24.537</v>
      </c>
    </row>
    <row r="190" spans="1:123">
      <c r="B190" s="198" t="s">
        <v>138</v>
      </c>
      <c r="C190" s="124"/>
      <c r="H190" s="124"/>
      <c r="M190" s="124"/>
      <c r="R190" s="124"/>
      <c r="W190" s="124"/>
      <c r="AB190" s="124"/>
      <c r="AG190" s="124"/>
      <c r="AL190" s="124"/>
      <c r="AQ190" s="124"/>
      <c r="AV190" s="124"/>
      <c r="BA190" s="124"/>
      <c r="BF190" s="124"/>
      <c r="BK190" s="124"/>
      <c r="BO190" s="172"/>
      <c r="BP190" s="124"/>
      <c r="BR190" s="172"/>
      <c r="BS190" s="172"/>
      <c r="BT190" s="172"/>
      <c r="BU190" s="173"/>
      <c r="BV190" s="172">
        <v>626.974</v>
      </c>
      <c r="BW190" s="172">
        <v>657.044</v>
      </c>
      <c r="BX190" s="172">
        <v>652.492</v>
      </c>
      <c r="BY190" s="172">
        <v>689.664</v>
      </c>
      <c r="BZ190" s="173">
        <f>BY190</f>
        <v>689.664</v>
      </c>
      <c r="CA190" s="172">
        <v>731.883</v>
      </c>
      <c r="CB190" s="172">
        <v>725.805</v>
      </c>
      <c r="CC190" s="172">
        <v>714.086</v>
      </c>
      <c r="CD190" s="172">
        <v>734.835</v>
      </c>
      <c r="CE190" s="173">
        <f>CD190</f>
        <v>734.835</v>
      </c>
      <c r="CF190" s="172">
        <v>719.139</v>
      </c>
      <c r="CG190" s="172">
        <v>729.621</v>
      </c>
      <c r="CH190" s="172">
        <v>789.381</v>
      </c>
      <c r="CI190" s="172">
        <v>803.543</v>
      </c>
      <c r="CJ190" s="173">
        <f>CI190</f>
        <v>803.543</v>
      </c>
      <c r="CK190" s="172">
        <v>819.998</v>
      </c>
      <c r="CL190" s="172">
        <v>867.901</v>
      </c>
      <c r="CM190" s="172">
        <v>946.687</v>
      </c>
      <c r="CN190" s="172">
        <v>969.419</v>
      </c>
      <c r="CO190" s="173">
        <f>CN190</f>
        <v>969.419</v>
      </c>
      <c r="CP190" s="172">
        <v>993.471</v>
      </c>
      <c r="CQ190" s="172">
        <v>1079.198</v>
      </c>
      <c r="CR190" s="172">
        <v>1048.607</v>
      </c>
      <c r="CS190" s="172">
        <v>1265.61</v>
      </c>
      <c r="CT190" s="173">
        <f>CS190</f>
        <v>1265.61</v>
      </c>
      <c r="CU190" s="172">
        <v>1263.749</v>
      </c>
      <c r="CV190" s="172">
        <v>1302.947</v>
      </c>
      <c r="CW190" s="172">
        <v>1360.589</v>
      </c>
      <c r="CX190" s="172">
        <v>1416.256</v>
      </c>
      <c r="CY190" s="173">
        <f t="shared" si="462"/>
        <v>1416.256</v>
      </c>
      <c r="CZ190" s="172">
        <v>1549.401</v>
      </c>
      <c r="DA190" s="172">
        <v>1605.009</v>
      </c>
      <c r="DB190" s="172">
        <v>1600.385</v>
      </c>
      <c r="DC190" s="172">
        <v>1630.181</v>
      </c>
      <c r="DD190" s="173">
        <f t="shared" si="462"/>
        <v>1630.181</v>
      </c>
      <c r="DE190" s="172">
        <v>1948.704</v>
      </c>
      <c r="DF190" s="172">
        <v>1947.077</v>
      </c>
      <c r="DG190" s="596">
        <f t="shared" si="463"/>
        <v>1947.077</v>
      </c>
      <c r="DH190" s="596">
        <f t="shared" si="463"/>
        <v>1947.077</v>
      </c>
      <c r="DI190" s="173">
        <f t="shared" si="463"/>
        <v>1947.077</v>
      </c>
      <c r="DJ190" s="596">
        <f t="shared" si="464"/>
        <v>1947.077</v>
      </c>
      <c r="DK190" s="596">
        <f t="shared" si="465"/>
        <v>1947.077</v>
      </c>
      <c r="DL190" s="596">
        <f t="shared" si="466"/>
        <v>1947.077</v>
      </c>
      <c r="DM190" s="596">
        <f t="shared" si="467"/>
        <v>1947.077</v>
      </c>
      <c r="DN190" s="173">
        <f t="shared" si="468"/>
        <v>1947.077</v>
      </c>
      <c r="DO190" s="596">
        <f t="shared" si="469"/>
        <v>1947.077</v>
      </c>
      <c r="DP190" s="596">
        <f t="shared" si="470"/>
        <v>1947.077</v>
      </c>
      <c r="DQ190" s="596">
        <f t="shared" si="471"/>
        <v>1947.077</v>
      </c>
      <c r="DR190" s="596">
        <f t="shared" si="472"/>
        <v>1947.077</v>
      </c>
      <c r="DS190" s="173">
        <f t="shared" si="473"/>
        <v>1947.077</v>
      </c>
    </row>
    <row r="191" spans="1:123">
      <c r="B191" s="198" t="s">
        <v>139</v>
      </c>
      <c r="C191" s="124"/>
      <c r="H191" s="124"/>
      <c r="M191" s="124">
        <f>5.624422-M188</f>
        <v>3.484411</v>
      </c>
      <c r="R191" s="124">
        <f>13.147159-R188</f>
        <v>5.98573</v>
      </c>
      <c r="W191" s="124">
        <f>32.986-W188</f>
        <v>25.599794</v>
      </c>
      <c r="AB191" s="124">
        <f>29.257-AB188</f>
        <v>22.106</v>
      </c>
      <c r="AG191" s="124">
        <f>39.069-AG188</f>
        <v>32.231</v>
      </c>
      <c r="AH191" s="125">
        <v>36.019</v>
      </c>
      <c r="AI191" s="125">
        <v>45.833</v>
      </c>
      <c r="AJ191" s="125">
        <v>49.599</v>
      </c>
      <c r="AK191" s="125">
        <f>AL191</f>
        <v>39.064</v>
      </c>
      <c r="AL191" s="124">
        <f>44.6-AL188</f>
        <v>39.064</v>
      </c>
      <c r="AM191" s="125">
        <v>37.548</v>
      </c>
      <c r="AN191" s="125">
        <v>37.899</v>
      </c>
      <c r="AO191" s="125">
        <v>37.053</v>
      </c>
      <c r="AP191" s="125">
        <f>AQ191</f>
        <v>4.152</v>
      </c>
      <c r="AQ191" s="124">
        <v>4.152</v>
      </c>
      <c r="AR191" s="125">
        <v>27.382</v>
      </c>
      <c r="AS191" s="125">
        <v>4.125</v>
      </c>
      <c r="AT191" s="125">
        <v>5.243</v>
      </c>
      <c r="AU191" s="125">
        <f>AV191</f>
        <v>4.745</v>
      </c>
      <c r="AV191" s="124">
        <v>4.745</v>
      </c>
      <c r="AW191" s="125">
        <v>5.102</v>
      </c>
      <c r="AX191" s="125">
        <v>5.039</v>
      </c>
      <c r="AY191" s="125">
        <v>5.733</v>
      </c>
      <c r="AZ191" s="125">
        <f>BA191</f>
        <v>7.012</v>
      </c>
      <c r="BA191" s="124">
        <v>7.012</v>
      </c>
      <c r="BB191" s="125">
        <v>8.018</v>
      </c>
      <c r="BC191" s="125">
        <v>10.581</v>
      </c>
      <c r="BD191" s="125">
        <v>10.184</v>
      </c>
      <c r="BE191" s="125">
        <f>BF191</f>
        <v>10.854</v>
      </c>
      <c r="BF191" s="124">
        <v>10.854</v>
      </c>
      <c r="BG191" s="125">
        <v>14.285</v>
      </c>
      <c r="BH191" s="125">
        <v>20.215</v>
      </c>
      <c r="BI191" s="125">
        <v>19.359</v>
      </c>
      <c r="BJ191" s="125">
        <f>BK191</f>
        <v>20.492</v>
      </c>
      <c r="BK191" s="124">
        <v>20.492</v>
      </c>
      <c r="BL191" s="125">
        <v>21.063</v>
      </c>
      <c r="BM191" s="125">
        <v>24.175</v>
      </c>
      <c r="BN191" s="125">
        <v>29.639</v>
      </c>
      <c r="BO191" s="172">
        <v>31.389</v>
      </c>
      <c r="BP191" s="124">
        <f>BO191</f>
        <v>31.389</v>
      </c>
      <c r="BQ191" s="125">
        <v>31.304</v>
      </c>
      <c r="BR191" s="172">
        <v>32.974</v>
      </c>
      <c r="BS191" s="172">
        <v>33.902</v>
      </c>
      <c r="BT191" s="172">
        <v>37.404</v>
      </c>
      <c r="BU191" s="173">
        <f>BT191</f>
        <v>37.404</v>
      </c>
      <c r="BV191" s="172">
        <v>31.318</v>
      </c>
      <c r="BW191" s="172">
        <v>37.117</v>
      </c>
      <c r="BX191" s="172">
        <v>43.787</v>
      </c>
      <c r="BY191" s="172">
        <v>56.201</v>
      </c>
      <c r="BZ191" s="173">
        <f>BY191</f>
        <v>56.201</v>
      </c>
      <c r="CA191" s="172">
        <v>60.859</v>
      </c>
      <c r="CB191" s="172">
        <v>77.298</v>
      </c>
      <c r="CC191" s="172">
        <v>92.671</v>
      </c>
      <c r="CD191" s="172">
        <v>106.626</v>
      </c>
      <c r="CE191" s="173">
        <f>CD191</f>
        <v>106.626</v>
      </c>
      <c r="CF191" s="172">
        <v>110.782</v>
      </c>
      <c r="CG191" s="172">
        <v>124.505</v>
      </c>
      <c r="CH191" s="172">
        <v>127.48</v>
      </c>
      <c r="CI191" s="172">
        <v>132.102</v>
      </c>
      <c r="CJ191" s="173">
        <f>CI191</f>
        <v>132.102</v>
      </c>
      <c r="CK191" s="172">
        <f>137.16</f>
        <v>137.16</v>
      </c>
      <c r="CL191" s="172">
        <v>146.056</v>
      </c>
      <c r="CM191" s="172">
        <v>149.257</v>
      </c>
      <c r="CN191" s="172">
        <v>156.045</v>
      </c>
      <c r="CO191" s="173">
        <f>CN191</f>
        <v>156.045</v>
      </c>
      <c r="CP191" s="172">
        <v>161.725</v>
      </c>
      <c r="CQ191" s="172">
        <v>173.587</v>
      </c>
      <c r="CR191" s="172">
        <v>165.032</v>
      </c>
      <c r="CS191" s="172">
        <v>186.684</v>
      </c>
      <c r="CT191" s="173">
        <f>CS191</f>
        <v>186.684</v>
      </c>
      <c r="CU191" s="172">
        <v>202.383</v>
      </c>
      <c r="CV191" s="172">
        <v>221.528</v>
      </c>
      <c r="CW191" s="172">
        <v>232.594</v>
      </c>
      <c r="CX191" s="172">
        <v>237.841</v>
      </c>
      <c r="CY191" s="173">
        <f t="shared" si="462"/>
        <v>237.841</v>
      </c>
      <c r="CZ191" s="172">
        <v>256.417</v>
      </c>
      <c r="DA191" s="172">
        <v>268.709</v>
      </c>
      <c r="DB191" s="172">
        <v>274.563</v>
      </c>
      <c r="DC191" s="172">
        <v>314.91</v>
      </c>
      <c r="DD191" s="173">
        <f t="shared" si="462"/>
        <v>314.91</v>
      </c>
      <c r="DE191" s="172">
        <v>328.308</v>
      </c>
      <c r="DF191" s="172">
        <v>332.644</v>
      </c>
      <c r="DG191" s="596">
        <f t="shared" si="463"/>
        <v>332.644</v>
      </c>
      <c r="DH191" s="596">
        <f t="shared" si="463"/>
        <v>332.644</v>
      </c>
      <c r="DI191" s="173">
        <f t="shared" si="463"/>
        <v>332.644</v>
      </c>
      <c r="DJ191" s="596">
        <f t="shared" si="464"/>
        <v>332.644</v>
      </c>
      <c r="DK191" s="596">
        <f t="shared" si="465"/>
        <v>332.644</v>
      </c>
      <c r="DL191" s="596">
        <f t="shared" si="466"/>
        <v>332.644</v>
      </c>
      <c r="DM191" s="596">
        <f t="shared" si="467"/>
        <v>332.644</v>
      </c>
      <c r="DN191" s="173">
        <f t="shared" si="468"/>
        <v>332.644</v>
      </c>
      <c r="DO191" s="596">
        <f t="shared" si="469"/>
        <v>332.644</v>
      </c>
      <c r="DP191" s="596">
        <f t="shared" si="470"/>
        <v>332.644</v>
      </c>
      <c r="DQ191" s="596">
        <f t="shared" si="471"/>
        <v>332.644</v>
      </c>
      <c r="DR191" s="596">
        <f t="shared" si="472"/>
        <v>332.644</v>
      </c>
      <c r="DS191" s="173">
        <f t="shared" si="473"/>
        <v>332.644</v>
      </c>
    </row>
    <row r="192" spans="1:123">
      <c r="B192" s="198"/>
      <c r="C192" s="124"/>
      <c r="H192" s="124"/>
      <c r="M192" s="124"/>
      <c r="R192" s="124"/>
      <c r="W192" s="124"/>
      <c r="AB192" s="124"/>
      <c r="AG192" s="124"/>
      <c r="AL192" s="124"/>
      <c r="AQ192" s="124"/>
      <c r="AV192" s="124"/>
      <c r="BA192" s="124"/>
      <c r="BF192" s="124"/>
      <c r="BK192" s="124"/>
      <c r="BP192" s="124"/>
      <c r="BR192" s="172"/>
      <c r="BU192" s="124"/>
      <c r="BZ192" s="124"/>
      <c r="CD192" s="172"/>
      <c r="CE192" s="124"/>
      <c r="CJ192" s="124"/>
      <c r="CO192" s="124"/>
      <c r="CT192" s="124"/>
      <c r="CX192" s="172"/>
      <c r="CY192" s="124"/>
      <c r="CZ192" s="172"/>
      <c r="DD192" s="124"/>
      <c r="DE192" s="172"/>
      <c r="DF192" s="172"/>
      <c r="DI192" s="124"/>
      <c r="DN192" s="124"/>
      <c r="DS192" s="124"/>
    </row>
    <row r="193" spans="1:123">
      <c r="A193" s="132"/>
      <c r="B193" s="597" t="s">
        <v>140</v>
      </c>
      <c r="C193" s="598"/>
      <c r="D193" s="599"/>
      <c r="E193" s="599"/>
      <c r="F193" s="599"/>
      <c r="G193" s="599"/>
      <c r="H193" s="598"/>
      <c r="I193" s="599"/>
      <c r="J193" s="599"/>
      <c r="K193" s="599"/>
      <c r="L193" s="599"/>
      <c r="M193" s="598">
        <f t="shared" ref="M193:BP193" si="474">SUM(M188:M191)+M183+M178</f>
        <v>72.293109</v>
      </c>
      <c r="N193" s="599"/>
      <c r="O193" s="599"/>
      <c r="P193" s="599"/>
      <c r="Q193" s="599"/>
      <c r="R193" s="598">
        <f t="shared" si="474"/>
        <v>155.092142</v>
      </c>
      <c r="S193" s="599"/>
      <c r="T193" s="599"/>
      <c r="U193" s="599"/>
      <c r="V193" s="599"/>
      <c r="W193" s="598">
        <f t="shared" si="474"/>
        <v>211.636</v>
      </c>
      <c r="X193" s="599"/>
      <c r="Y193" s="599"/>
      <c r="Z193" s="599"/>
      <c r="AA193" s="599"/>
      <c r="AB193" s="598">
        <f t="shared" si="474"/>
        <v>307.258</v>
      </c>
      <c r="AC193" s="599"/>
      <c r="AD193" s="599"/>
      <c r="AE193" s="599"/>
      <c r="AF193" s="599"/>
      <c r="AG193" s="598">
        <f t="shared" si="474"/>
        <v>499.302</v>
      </c>
      <c r="AH193" s="599">
        <f t="shared" si="474"/>
        <v>536.46</v>
      </c>
      <c r="AI193" s="599">
        <f t="shared" si="474"/>
        <v>586.461</v>
      </c>
      <c r="AJ193" s="599">
        <f t="shared" si="474"/>
        <v>636.07</v>
      </c>
      <c r="AK193" s="599">
        <f t="shared" si="474"/>
        <v>734.634</v>
      </c>
      <c r="AL193" s="598">
        <f t="shared" si="474"/>
        <v>734.634</v>
      </c>
      <c r="AM193" s="599">
        <f t="shared" si="474"/>
        <v>770.619</v>
      </c>
      <c r="AN193" s="599">
        <f t="shared" si="474"/>
        <v>829.138</v>
      </c>
      <c r="AO193" s="599">
        <f t="shared" si="474"/>
        <v>888.781</v>
      </c>
      <c r="AP193" s="599">
        <f t="shared" si="474"/>
        <v>1051.078</v>
      </c>
      <c r="AQ193" s="598">
        <f t="shared" si="474"/>
        <v>1051.078</v>
      </c>
      <c r="AR193" s="599">
        <f t="shared" si="474"/>
        <v>1053.476</v>
      </c>
      <c r="AS193" s="599">
        <f t="shared" si="474"/>
        <v>1114.122</v>
      </c>
      <c r="AT193" s="599">
        <f t="shared" si="474"/>
        <v>1174.554</v>
      </c>
      <c r="AU193" s="599">
        <f t="shared" si="474"/>
        <v>1249.688</v>
      </c>
      <c r="AV193" s="598">
        <f t="shared" si="474"/>
        <v>1249.688</v>
      </c>
      <c r="AW193" s="599">
        <f t="shared" si="474"/>
        <v>1290.957</v>
      </c>
      <c r="AX193" s="599">
        <f t="shared" si="474"/>
        <v>1297.92</v>
      </c>
      <c r="AY193" s="599">
        <f t="shared" si="474"/>
        <v>1284.487</v>
      </c>
      <c r="AZ193" s="599">
        <f t="shared" si="474"/>
        <v>1296.213</v>
      </c>
      <c r="BA193" s="598">
        <f t="shared" si="474"/>
        <v>1296.213</v>
      </c>
      <c r="BB193" s="599">
        <f t="shared" si="474"/>
        <v>1337.716</v>
      </c>
      <c r="BC193" s="599">
        <f t="shared" si="474"/>
        <v>1294.221</v>
      </c>
      <c r="BD193" s="599">
        <f t="shared" si="474"/>
        <v>1321.559</v>
      </c>
      <c r="BE193" s="599">
        <f t="shared" si="474"/>
        <v>1314.077</v>
      </c>
      <c r="BF193" s="598">
        <f t="shared" si="474"/>
        <v>1314.077</v>
      </c>
      <c r="BG193" s="599">
        <f t="shared" si="474"/>
        <v>1401.655</v>
      </c>
      <c r="BH193" s="599">
        <f t="shared" si="474"/>
        <v>1415.501</v>
      </c>
      <c r="BI193" s="599">
        <f t="shared" si="474"/>
        <v>1478.94</v>
      </c>
      <c r="BJ193" s="599">
        <f t="shared" si="474"/>
        <v>1657.541</v>
      </c>
      <c r="BK193" s="598">
        <f t="shared" si="474"/>
        <v>1657.541</v>
      </c>
      <c r="BL193" s="599">
        <f t="shared" si="474"/>
        <v>1609.334</v>
      </c>
      <c r="BM193" s="599">
        <f t="shared" si="474"/>
        <v>1686.923</v>
      </c>
      <c r="BN193" s="599">
        <f t="shared" si="474"/>
        <v>1720.449</v>
      </c>
      <c r="BO193" s="599">
        <f t="shared" si="474"/>
        <v>1998.483</v>
      </c>
      <c r="BP193" s="598">
        <f t="shared" si="474"/>
        <v>1998.483</v>
      </c>
      <c r="BQ193" s="599">
        <f t="shared" ref="BQ193:CO193" si="475">SUM(BQ188:BQ191)+BQ183+BQ178</f>
        <v>2011.705</v>
      </c>
      <c r="BR193" s="629">
        <f t="shared" si="475"/>
        <v>1881.157</v>
      </c>
      <c r="BS193" s="599">
        <f t="shared" si="475"/>
        <v>1981.011</v>
      </c>
      <c r="BT193" s="599">
        <f t="shared" si="475"/>
        <v>2084.711</v>
      </c>
      <c r="BU193" s="598">
        <f t="shared" si="475"/>
        <v>2084.711</v>
      </c>
      <c r="BV193" s="599">
        <f t="shared" si="475"/>
        <v>2463.02</v>
      </c>
      <c r="BW193" s="599">
        <f t="shared" si="475"/>
        <v>2694.744</v>
      </c>
      <c r="BX193" s="599">
        <f t="shared" si="475"/>
        <v>2855.144</v>
      </c>
      <c r="BY193" s="599">
        <f t="shared" si="475"/>
        <v>3281.354</v>
      </c>
      <c r="BZ193" s="598">
        <f t="shared" si="475"/>
        <v>3281.354</v>
      </c>
      <c r="CA193" s="599">
        <f t="shared" si="475"/>
        <v>3201.786</v>
      </c>
      <c r="CB193" s="599">
        <f t="shared" si="475"/>
        <v>3494.027</v>
      </c>
      <c r="CC193" s="599">
        <f t="shared" si="475"/>
        <v>3627.92</v>
      </c>
      <c r="CD193" s="599">
        <f t="shared" si="475"/>
        <v>4185.215</v>
      </c>
      <c r="CE193" s="598">
        <f t="shared" si="475"/>
        <v>4185.215</v>
      </c>
      <c r="CF193" s="599">
        <f t="shared" si="475"/>
        <v>4329.831</v>
      </c>
      <c r="CG193" s="599">
        <f t="shared" si="475"/>
        <v>4405.098</v>
      </c>
      <c r="CH193" s="599">
        <f t="shared" si="475"/>
        <v>4572.007</v>
      </c>
      <c r="CI193" s="599">
        <f t="shared" si="475"/>
        <v>4942.478</v>
      </c>
      <c r="CJ193" s="598">
        <f t="shared" si="475"/>
        <v>4942.478</v>
      </c>
      <c r="CK193" s="599">
        <f t="shared" si="475"/>
        <v>4697.212</v>
      </c>
      <c r="CL193" s="599">
        <f t="shared" si="475"/>
        <v>4920.711</v>
      </c>
      <c r="CM193" s="599">
        <f t="shared" si="475"/>
        <v>5309.436</v>
      </c>
      <c r="CN193" s="599">
        <f t="shared" si="475"/>
        <v>5607.038</v>
      </c>
      <c r="CO193" s="598">
        <f t="shared" si="475"/>
        <v>5607.038</v>
      </c>
      <c r="CP193" s="599">
        <f t="shared" ref="CP193:DI193" si="476">SUM(CP188:CP191)+CP183+CP178</f>
        <v>5571.544</v>
      </c>
      <c r="CQ193" s="599">
        <f t="shared" si="476"/>
        <v>5992.458</v>
      </c>
      <c r="CR193" s="599">
        <f t="shared" si="476"/>
        <v>6022.264</v>
      </c>
      <c r="CS193" s="599">
        <f t="shared" si="476"/>
        <v>7091.941</v>
      </c>
      <c r="CT193" s="598">
        <f t="shared" si="476"/>
        <v>7091.941</v>
      </c>
      <c r="CU193" s="599">
        <f t="shared" si="476"/>
        <v>6828.495</v>
      </c>
      <c r="CV193" s="599">
        <f t="shared" si="476"/>
        <v>6744.135</v>
      </c>
      <c r="CW193" s="599">
        <f t="shared" si="476"/>
        <v>7083.669</v>
      </c>
      <c r="CX193" s="629">
        <f t="shared" ref="CX193" si="477">SUM(CX188:CX191)+CX183+CX178</f>
        <v>7603.292</v>
      </c>
      <c r="CY193" s="598">
        <f t="shared" si="476"/>
        <v>7603.292</v>
      </c>
      <c r="CZ193" s="629">
        <f t="shared" si="476"/>
        <v>7430.543</v>
      </c>
      <c r="DA193" s="599">
        <f t="shared" si="476"/>
        <v>7523.439</v>
      </c>
      <c r="DB193" s="599">
        <f t="shared" si="476"/>
        <v>7955.192</v>
      </c>
      <c r="DC193" s="599">
        <f t="shared" si="476"/>
        <v>8456.743</v>
      </c>
      <c r="DD193" s="598">
        <f t="shared" ref="DD193" si="478">SUM(DD188:DD191)+DD183+DD178</f>
        <v>8456.743</v>
      </c>
      <c r="DE193" s="629">
        <f t="shared" si="476"/>
        <v>8531.441</v>
      </c>
      <c r="DF193" s="629">
        <f t="shared" si="476"/>
        <v>8484.578</v>
      </c>
      <c r="DG193" s="599">
        <f t="shared" si="476"/>
        <v>8317.00710430577</v>
      </c>
      <c r="DH193" s="599">
        <f t="shared" si="476"/>
        <v>8496.1720511085</v>
      </c>
      <c r="DI193" s="598">
        <f t="shared" si="476"/>
        <v>8496.1720511085</v>
      </c>
      <c r="DJ193" s="599">
        <f t="shared" ref="DJ193:DN193" si="479">SUM(DJ188:DJ191)+DJ183+DJ178</f>
        <v>8449.95359554346</v>
      </c>
      <c r="DK193" s="599">
        <f t="shared" si="479"/>
        <v>8551.27822892593</v>
      </c>
      <c r="DL193" s="599">
        <f t="shared" si="479"/>
        <v>8504.18336885092</v>
      </c>
      <c r="DM193" s="599">
        <f t="shared" si="479"/>
        <v>8798.51756540624</v>
      </c>
      <c r="DN193" s="598">
        <f t="shared" si="479"/>
        <v>8798.51756540624</v>
      </c>
      <c r="DO193" s="599">
        <f t="shared" ref="DO193:DS193" si="480">SUM(DO188:DO191)+DO183+DO178</f>
        <v>8753.63320834444</v>
      </c>
      <c r="DP193" s="599">
        <f t="shared" si="480"/>
        <v>8846.82563672903</v>
      </c>
      <c r="DQ193" s="599">
        <f t="shared" si="480"/>
        <v>8794.8034720183</v>
      </c>
      <c r="DR193" s="599">
        <f t="shared" si="480"/>
        <v>9082.47062818422</v>
      </c>
      <c r="DS193" s="598">
        <f t="shared" si="480"/>
        <v>9082.47062818422</v>
      </c>
    </row>
    <row r="194" spans="1:123">
      <c r="A194" s="6"/>
      <c r="B194" s="33"/>
      <c r="C194" s="74"/>
      <c r="D194" s="6"/>
      <c r="E194" s="88"/>
      <c r="F194" s="88"/>
      <c r="G194" s="88"/>
      <c r="H194" s="60"/>
      <c r="I194" s="88"/>
      <c r="J194" s="88"/>
      <c r="K194" s="88"/>
      <c r="L194" s="88"/>
      <c r="M194" s="60"/>
      <c r="N194" s="88"/>
      <c r="O194" s="88"/>
      <c r="P194" s="88"/>
      <c r="Q194" s="88"/>
      <c r="R194" s="60"/>
      <c r="W194" s="60"/>
      <c r="AB194" s="60"/>
      <c r="AG194" s="60"/>
      <c r="AL194" s="60"/>
      <c r="AQ194" s="60"/>
      <c r="AV194" s="60"/>
      <c r="BA194" s="60"/>
      <c r="BF194" s="60"/>
      <c r="BK194" s="60"/>
      <c r="BP194" s="60"/>
      <c r="BR194" s="172"/>
      <c r="BU194" s="60"/>
      <c r="BZ194" s="60"/>
      <c r="CE194" s="60"/>
      <c r="CJ194" s="60"/>
      <c r="CM194" s="172"/>
      <c r="CO194" s="60"/>
      <c r="CT194" s="60"/>
      <c r="CX194" s="172"/>
      <c r="CY194" s="60"/>
      <c r="CZ194" s="172"/>
      <c r="DD194" s="60"/>
      <c r="DE194" s="172"/>
      <c r="DF194" s="172"/>
      <c r="DI194" s="74"/>
      <c r="DN194" s="74"/>
      <c r="DS194" s="74"/>
    </row>
    <row r="195" spans="1:123">
      <c r="B195" s="198" t="s">
        <v>107</v>
      </c>
      <c r="C195" s="124"/>
      <c r="H195" s="124"/>
      <c r="M195" s="124">
        <v>4.935037</v>
      </c>
      <c r="R195" s="124">
        <v>5.199604</v>
      </c>
      <c r="W195" s="124">
        <v>5.269</v>
      </c>
      <c r="AB195" s="124">
        <v>11.028</v>
      </c>
      <c r="AG195" s="124">
        <v>6.659</v>
      </c>
      <c r="AH195" s="125">
        <v>3.409</v>
      </c>
      <c r="AI195" s="125">
        <v>4.445</v>
      </c>
      <c r="AJ195" s="125">
        <v>6.04</v>
      </c>
      <c r="AK195" s="125">
        <f>AL195</f>
        <v>14.536</v>
      </c>
      <c r="AL195" s="124">
        <v>14.536</v>
      </c>
      <c r="AM195" s="125">
        <v>4.229</v>
      </c>
      <c r="AN195" s="125">
        <v>6.953</v>
      </c>
      <c r="AO195" s="125">
        <v>6.569</v>
      </c>
      <c r="AP195" s="125">
        <f>AQ195</f>
        <v>40.682</v>
      </c>
      <c r="AQ195" s="124">
        <f>1.045+39.637</f>
        <v>40.682</v>
      </c>
      <c r="AR195" s="125">
        <v>3.756</v>
      </c>
      <c r="AS195" s="125">
        <v>12.721</v>
      </c>
      <c r="AT195" s="125">
        <v>4.783</v>
      </c>
      <c r="AU195" s="125">
        <f>AV195</f>
        <v>13.416</v>
      </c>
      <c r="AV195" s="124">
        <f>12.647+0.769</f>
        <v>13.416</v>
      </c>
      <c r="AW195" s="125">
        <v>6.96</v>
      </c>
      <c r="AX195" s="125">
        <v>7.1</v>
      </c>
      <c r="AY195" s="125">
        <v>9.545</v>
      </c>
      <c r="AZ195" s="125">
        <f>BA195</f>
        <v>9.339</v>
      </c>
      <c r="BA195" s="124">
        <v>9.339</v>
      </c>
      <c r="BB195" s="125">
        <v>5.318</v>
      </c>
      <c r="BC195" s="125">
        <v>7.488</v>
      </c>
      <c r="BD195" s="125">
        <v>5.845</v>
      </c>
      <c r="BE195" s="125">
        <f>BF195</f>
        <v>10.381</v>
      </c>
      <c r="BF195" s="124">
        <v>10.381</v>
      </c>
      <c r="BG195" s="125">
        <v>6.443</v>
      </c>
      <c r="BH195" s="125">
        <v>8.295</v>
      </c>
      <c r="BI195" s="125">
        <v>9.132</v>
      </c>
      <c r="BJ195" s="125">
        <f>BK195</f>
        <v>24.846</v>
      </c>
      <c r="BK195" s="124">
        <v>24.846</v>
      </c>
      <c r="BL195" s="125">
        <v>8.533</v>
      </c>
      <c r="BM195" s="125">
        <v>19.049</v>
      </c>
      <c r="BN195" s="125">
        <v>14.113</v>
      </c>
      <c r="BO195" s="125">
        <v>24.646</v>
      </c>
      <c r="BP195" s="124">
        <f>BO195</f>
        <v>24.646</v>
      </c>
      <c r="BQ195" s="125">
        <v>16.255</v>
      </c>
      <c r="BR195" s="172">
        <v>110.523</v>
      </c>
      <c r="BS195" s="125">
        <v>153.14</v>
      </c>
      <c r="BT195" s="125">
        <v>95.533</v>
      </c>
      <c r="BU195" s="124">
        <f>BT195</f>
        <v>95.533</v>
      </c>
      <c r="BV195" s="125">
        <v>88.258</v>
      </c>
      <c r="BW195" s="125">
        <v>110.513</v>
      </c>
      <c r="BX195" s="125">
        <v>116.281</v>
      </c>
      <c r="BY195" s="125">
        <v>79.997</v>
      </c>
      <c r="BZ195" s="124">
        <f>BY195</f>
        <v>79.997</v>
      </c>
      <c r="CA195" s="125">
        <v>78.94</v>
      </c>
      <c r="CB195" s="125">
        <v>122.767</v>
      </c>
      <c r="CC195" s="125">
        <v>160.779</v>
      </c>
      <c r="CD195" s="172">
        <v>172.246</v>
      </c>
      <c r="CE195" s="124">
        <f>CD195</f>
        <v>172.246</v>
      </c>
      <c r="CF195" s="125">
        <v>196.934</v>
      </c>
      <c r="CG195" s="172">
        <v>203.546</v>
      </c>
      <c r="CH195" s="125">
        <v>227.067</v>
      </c>
      <c r="CI195" s="125">
        <v>289.728</v>
      </c>
      <c r="CJ195" s="124">
        <f>CI195</f>
        <v>289.728</v>
      </c>
      <c r="CK195" s="125">
        <v>308.086</v>
      </c>
      <c r="CL195" s="172">
        <v>259.927</v>
      </c>
      <c r="CM195" s="172">
        <v>300.87</v>
      </c>
      <c r="CN195" s="125">
        <v>172.732</v>
      </c>
      <c r="CO195" s="124">
        <f>CN195</f>
        <v>172.732</v>
      </c>
      <c r="CP195" s="125">
        <v>287.464</v>
      </c>
      <c r="CQ195" s="125">
        <v>298.914</v>
      </c>
      <c r="CR195" s="172">
        <v>309.324</v>
      </c>
      <c r="CS195" s="172">
        <v>348.441</v>
      </c>
      <c r="CT195" s="124">
        <f>CS195</f>
        <v>348.441</v>
      </c>
      <c r="CU195" s="172">
        <v>261.605</v>
      </c>
      <c r="CV195" s="172">
        <v>317.348</v>
      </c>
      <c r="CW195" s="125">
        <v>385.96</v>
      </c>
      <c r="CX195" s="172">
        <v>271.406</v>
      </c>
      <c r="CY195" s="124">
        <f>CX195</f>
        <v>271.406</v>
      </c>
      <c r="CZ195" s="172">
        <v>303.975</v>
      </c>
      <c r="DA195" s="125">
        <v>373.333</v>
      </c>
      <c r="DB195" s="125">
        <v>352.16</v>
      </c>
      <c r="DC195" s="125">
        <v>331.421</v>
      </c>
      <c r="DD195" s="124">
        <f>DC195</f>
        <v>331.421</v>
      </c>
      <c r="DE195" s="172">
        <v>294.323</v>
      </c>
      <c r="DF195" s="172">
        <v>346.717</v>
      </c>
      <c r="DG195" s="125">
        <f>-DG220*DG$215</f>
        <v>368.297609348455</v>
      </c>
      <c r="DH195" s="125">
        <f>-DH220*DH$215</f>
        <v>319.558064875183</v>
      </c>
      <c r="DI195" s="124">
        <f>DH195</f>
        <v>319.558064875183</v>
      </c>
      <c r="DJ195" s="125">
        <f>-DJ220*DJ$215</f>
        <v>272.059383679383</v>
      </c>
      <c r="DK195" s="125">
        <f>-DK220*DK$215</f>
        <v>332.904211541048</v>
      </c>
      <c r="DL195" s="125">
        <f>-DL220*DL$215</f>
        <v>357.430345611538</v>
      </c>
      <c r="DM195" s="125">
        <f>-DM220*DM$215</f>
        <v>320.490852945776</v>
      </c>
      <c r="DN195" s="124">
        <f>DM195</f>
        <v>320.490852945776</v>
      </c>
      <c r="DO195" s="125">
        <f>-DO220*DO$215</f>
        <v>277.264945251508</v>
      </c>
      <c r="DP195" s="125">
        <f>-DP220*DP$215</f>
        <v>333.957301191348</v>
      </c>
      <c r="DQ195" s="125">
        <f>-DQ220*DQ$215</f>
        <v>360.16255029624</v>
      </c>
      <c r="DR195" s="125">
        <f>-DR220*DR$215</f>
        <v>324.793301156946</v>
      </c>
      <c r="DS195" s="124">
        <f>DR195</f>
        <v>324.793301156946</v>
      </c>
    </row>
    <row r="196" spans="1:123">
      <c r="B196" s="198" t="s">
        <v>141</v>
      </c>
      <c r="C196" s="124"/>
      <c r="H196" s="124"/>
      <c r="M196" s="124">
        <v>0</v>
      </c>
      <c r="R196" s="124">
        <v>0</v>
      </c>
      <c r="W196" s="124">
        <v>0</v>
      </c>
      <c r="AB196" s="124">
        <v>0</v>
      </c>
      <c r="AG196" s="124">
        <v>0</v>
      </c>
      <c r="AH196" s="125">
        <v>0</v>
      </c>
      <c r="AI196" s="125">
        <v>0</v>
      </c>
      <c r="AJ196" s="125">
        <v>0</v>
      </c>
      <c r="AK196" s="125">
        <f>AL196</f>
        <v>0</v>
      </c>
      <c r="AL196" s="124">
        <v>0</v>
      </c>
      <c r="AM196" s="125">
        <v>0</v>
      </c>
      <c r="AN196" s="125">
        <v>0</v>
      </c>
      <c r="AO196" s="125">
        <v>0</v>
      </c>
      <c r="AP196" s="125">
        <f>AQ196</f>
        <v>0</v>
      </c>
      <c r="AQ196" s="124">
        <v>0</v>
      </c>
      <c r="AR196" s="125">
        <v>0</v>
      </c>
      <c r="AS196" s="125">
        <v>0</v>
      </c>
      <c r="AT196" s="125">
        <v>0</v>
      </c>
      <c r="AU196" s="125">
        <f>AV196</f>
        <v>0</v>
      </c>
      <c r="AV196" s="124">
        <f>AQ196</f>
        <v>0</v>
      </c>
      <c r="AW196" s="125">
        <v>0</v>
      </c>
      <c r="AX196" s="125">
        <v>0</v>
      </c>
      <c r="AY196" s="125">
        <v>0</v>
      </c>
      <c r="AZ196" s="125">
        <f>BA196</f>
        <v>0</v>
      </c>
      <c r="BA196" s="124">
        <v>0</v>
      </c>
      <c r="BB196" s="125">
        <v>0</v>
      </c>
      <c r="BC196" s="125">
        <v>0</v>
      </c>
      <c r="BD196" s="125">
        <v>0</v>
      </c>
      <c r="BE196" s="125">
        <f>BF196</f>
        <v>0</v>
      </c>
      <c r="BF196" s="124">
        <v>0</v>
      </c>
      <c r="BG196" s="125">
        <v>0</v>
      </c>
      <c r="BH196" s="125">
        <v>0</v>
      </c>
      <c r="BI196" s="125">
        <v>0</v>
      </c>
      <c r="BJ196" s="125">
        <f>BK196</f>
        <v>0</v>
      </c>
      <c r="BK196" s="124">
        <f>BF196</f>
        <v>0</v>
      </c>
      <c r="BL196" s="125">
        <v>0</v>
      </c>
      <c r="BM196" s="125">
        <v>0</v>
      </c>
      <c r="BN196" s="125">
        <v>0</v>
      </c>
      <c r="BO196" s="125">
        <v>0</v>
      </c>
      <c r="BP196" s="173">
        <f>BO196</f>
        <v>0</v>
      </c>
      <c r="BQ196" s="125">
        <v>0</v>
      </c>
      <c r="BR196" s="172">
        <v>100</v>
      </c>
      <c r="BS196" s="172">
        <v>0</v>
      </c>
      <c r="BT196" s="172">
        <v>0</v>
      </c>
      <c r="BU196" s="173">
        <f>BT196</f>
        <v>0</v>
      </c>
      <c r="BV196" s="172">
        <v>0</v>
      </c>
      <c r="BW196" s="172">
        <v>0</v>
      </c>
      <c r="BX196" s="172">
        <v>0</v>
      </c>
      <c r="BY196" s="172">
        <v>0</v>
      </c>
      <c r="BZ196" s="173">
        <f>BY196</f>
        <v>0</v>
      </c>
      <c r="CA196" s="172">
        <f>BZ196+CA111</f>
        <v>0</v>
      </c>
      <c r="CB196" s="172">
        <v>0</v>
      </c>
      <c r="CC196" s="172">
        <v>0</v>
      </c>
      <c r="CD196" s="172">
        <v>0</v>
      </c>
      <c r="CE196" s="173">
        <f>CD196</f>
        <v>0</v>
      </c>
      <c r="CF196" s="172">
        <v>0</v>
      </c>
      <c r="CG196" s="172">
        <v>0</v>
      </c>
      <c r="CH196" s="172">
        <v>0</v>
      </c>
      <c r="CI196" s="172">
        <v>0</v>
      </c>
      <c r="CJ196" s="173">
        <f>CI196</f>
        <v>0</v>
      </c>
      <c r="CK196" s="172">
        <v>0</v>
      </c>
      <c r="CL196" s="172">
        <v>0</v>
      </c>
      <c r="CM196" s="172">
        <v>0</v>
      </c>
      <c r="CN196" s="172">
        <v>0</v>
      </c>
      <c r="CO196" s="173">
        <f>CN196</f>
        <v>0</v>
      </c>
      <c r="CP196" s="172">
        <v>0</v>
      </c>
      <c r="CQ196" s="172">
        <v>0</v>
      </c>
      <c r="CR196" s="172">
        <v>0</v>
      </c>
      <c r="CS196" s="172">
        <v>0</v>
      </c>
      <c r="CT196" s="173">
        <f>CS196</f>
        <v>0</v>
      </c>
      <c r="CU196" s="172">
        <v>0</v>
      </c>
      <c r="CV196" s="172">
        <v>0</v>
      </c>
      <c r="CW196" s="172">
        <v>0</v>
      </c>
      <c r="CX196" s="172">
        <v>0</v>
      </c>
      <c r="CY196" s="173">
        <f>CX196</f>
        <v>0</v>
      </c>
      <c r="CZ196" s="172">
        <v>0</v>
      </c>
      <c r="DA196" s="172">
        <v>0</v>
      </c>
      <c r="DB196" s="172">
        <v>0</v>
      </c>
      <c r="DC196" s="172">
        <v>0</v>
      </c>
      <c r="DD196" s="173">
        <f>DC196</f>
        <v>0</v>
      </c>
      <c r="DE196" s="172">
        <v>0</v>
      </c>
      <c r="DF196" s="172">
        <v>0</v>
      </c>
      <c r="DG196" s="172">
        <f>DF196+DG111</f>
        <v>0</v>
      </c>
      <c r="DH196" s="172">
        <f>DG196+DH111</f>
        <v>0</v>
      </c>
      <c r="DI196" s="173">
        <f>DH196</f>
        <v>0</v>
      </c>
      <c r="DJ196" s="172">
        <f>DI196+DJ111</f>
        <v>0</v>
      </c>
      <c r="DK196" s="172">
        <f>DJ196+DK111</f>
        <v>0</v>
      </c>
      <c r="DL196" s="172">
        <f>DK196+DL111</f>
        <v>0</v>
      </c>
      <c r="DM196" s="172">
        <f>DL196+DM111</f>
        <v>0</v>
      </c>
      <c r="DN196" s="173">
        <f>DM196</f>
        <v>0</v>
      </c>
      <c r="DO196" s="172">
        <f>DN196+DO111</f>
        <v>0</v>
      </c>
      <c r="DP196" s="172">
        <f>DO196+DP111</f>
        <v>0</v>
      </c>
      <c r="DQ196" s="172">
        <f>DP196+DQ111</f>
        <v>0</v>
      </c>
      <c r="DR196" s="172">
        <f>DQ196+DR111</f>
        <v>0</v>
      </c>
      <c r="DS196" s="173">
        <f>DR196</f>
        <v>0</v>
      </c>
    </row>
    <row r="197" spans="1:123">
      <c r="B197" s="198" t="s">
        <v>142</v>
      </c>
      <c r="C197" s="124"/>
      <c r="H197" s="124"/>
      <c r="M197" s="124">
        <v>3.272766</v>
      </c>
      <c r="R197" s="124">
        <v>8.113972</v>
      </c>
      <c r="W197" s="124">
        <v>0</v>
      </c>
      <c r="AB197" s="124">
        <v>0</v>
      </c>
      <c r="AG197" s="124">
        <v>18.168</v>
      </c>
      <c r="AH197" s="125">
        <v>15.774</v>
      </c>
      <c r="AI197" s="125">
        <v>14.885</v>
      </c>
      <c r="AJ197" s="125">
        <v>12.829</v>
      </c>
      <c r="AK197" s="125">
        <f>AL197</f>
        <v>22.773</v>
      </c>
      <c r="AL197" s="124">
        <v>22.773</v>
      </c>
      <c r="AM197" s="125">
        <v>17.702</v>
      </c>
      <c r="AN197" s="125">
        <v>17.704</v>
      </c>
      <c r="AO197" s="125">
        <v>17.66</v>
      </c>
      <c r="AP197" s="125">
        <f>AQ197</f>
        <v>35.113</v>
      </c>
      <c r="AQ197" s="124">
        <v>35.113</v>
      </c>
      <c r="AR197" s="125">
        <v>0</v>
      </c>
      <c r="AS197" s="125">
        <v>0</v>
      </c>
      <c r="AT197" s="125">
        <v>0</v>
      </c>
      <c r="AU197" s="125">
        <f>AV197</f>
        <v>38.343</v>
      </c>
      <c r="AV197" s="124">
        <v>38.343</v>
      </c>
      <c r="AW197" s="125">
        <v>30.919</v>
      </c>
      <c r="AX197" s="125">
        <v>0</v>
      </c>
      <c r="AY197" s="125">
        <v>28.016</v>
      </c>
      <c r="AZ197" s="125">
        <f>BA197</f>
        <v>46.252</v>
      </c>
      <c r="BA197" s="124">
        <v>46.252</v>
      </c>
      <c r="BB197" s="125">
        <v>39.226</v>
      </c>
      <c r="BC197" s="125">
        <v>36.148</v>
      </c>
      <c r="BD197" s="125">
        <v>35.123</v>
      </c>
      <c r="BE197" s="125">
        <f>BF197</f>
        <v>57.736</v>
      </c>
      <c r="BF197" s="124">
        <v>57.736</v>
      </c>
      <c r="BG197" s="125">
        <v>50.387</v>
      </c>
      <c r="BH197" s="125">
        <v>46.181</v>
      </c>
      <c r="BI197" s="125">
        <v>44.173</v>
      </c>
      <c r="BJ197" s="125">
        <f>BK197</f>
        <v>70.454</v>
      </c>
      <c r="BK197" s="124">
        <v>70.454</v>
      </c>
      <c r="BL197" s="125">
        <v>59.398</v>
      </c>
      <c r="BM197" s="125">
        <v>56.17</v>
      </c>
      <c r="BN197" s="125">
        <v>52.5</v>
      </c>
      <c r="BO197" s="125">
        <v>82.668</v>
      </c>
      <c r="BP197" s="124">
        <f>BO197</f>
        <v>82.668</v>
      </c>
      <c r="BQ197" s="125">
        <v>69.51</v>
      </c>
      <c r="BR197" s="172">
        <v>64.42</v>
      </c>
      <c r="BS197" s="125">
        <v>63.474</v>
      </c>
      <c r="BT197" s="125">
        <v>99.412</v>
      </c>
      <c r="BU197" s="124">
        <f>BT197</f>
        <v>99.412</v>
      </c>
      <c r="BV197" s="125">
        <v>85.215</v>
      </c>
      <c r="BW197" s="125">
        <v>79.629</v>
      </c>
      <c r="BX197" s="125">
        <v>75.025</v>
      </c>
      <c r="BY197" s="125">
        <v>120.413</v>
      </c>
      <c r="BZ197" s="124">
        <f>BY197</f>
        <v>120.413</v>
      </c>
      <c r="CA197" s="125">
        <v>105.286</v>
      </c>
      <c r="CB197" s="125">
        <v>106.425</v>
      </c>
      <c r="CC197" s="125">
        <v>104.76</v>
      </c>
      <c r="CD197" s="172">
        <v>155.848</v>
      </c>
      <c r="CE197" s="124">
        <f>CD197</f>
        <v>155.848</v>
      </c>
      <c r="CF197" s="125">
        <v>141.149</v>
      </c>
      <c r="CG197" s="172">
        <v>137.021</v>
      </c>
      <c r="CH197" s="125">
        <v>137.656</v>
      </c>
      <c r="CI197" s="125">
        <v>208.195</v>
      </c>
      <c r="CJ197" s="124">
        <f>CI197</f>
        <v>208.195</v>
      </c>
      <c r="CK197" s="125">
        <v>183.91</v>
      </c>
      <c r="CL197" s="172">
        <v>172.666</v>
      </c>
      <c r="CM197" s="172">
        <v>171.659</v>
      </c>
      <c r="CN197" s="125">
        <v>251.478</v>
      </c>
      <c r="CO197" s="124">
        <f>CN197</f>
        <v>251.478</v>
      </c>
      <c r="CP197" s="125">
        <v>223.97</v>
      </c>
      <c r="CQ197" s="125">
        <v>216.116</v>
      </c>
      <c r="CR197" s="172">
        <v>213.256</v>
      </c>
      <c r="CS197" s="172">
        <v>306.479</v>
      </c>
      <c r="CT197" s="124">
        <f>CS197</f>
        <v>306.479</v>
      </c>
      <c r="CU197" s="172">
        <v>268.296</v>
      </c>
      <c r="CV197" s="172">
        <v>250.754</v>
      </c>
      <c r="CW197" s="125">
        <v>238.327</v>
      </c>
      <c r="CX197" s="172">
        <v>308.352</v>
      </c>
      <c r="CY197" s="124">
        <f>CX197</f>
        <v>308.352</v>
      </c>
      <c r="CZ197" s="172">
        <v>271.076</v>
      </c>
      <c r="DA197" s="125">
        <v>252.334</v>
      </c>
      <c r="DB197" s="125">
        <v>253.798</v>
      </c>
      <c r="DC197" s="125">
        <v>316.632</v>
      </c>
      <c r="DD197" s="124">
        <f>DC197</f>
        <v>316.632</v>
      </c>
      <c r="DE197" s="172">
        <v>296.361</v>
      </c>
      <c r="DF197" s="172">
        <v>277.318</v>
      </c>
      <c r="DG197" s="125">
        <f>DG221*DG$214</f>
        <v>248.534011806368</v>
      </c>
      <c r="DH197" s="125">
        <f>DH221*DH$214</f>
        <v>298.494166328126</v>
      </c>
      <c r="DI197" s="124">
        <f>DH197</f>
        <v>298.494166328126</v>
      </c>
      <c r="DJ197" s="125">
        <f>DJ221*DJ$214</f>
        <v>273.942900009091</v>
      </c>
      <c r="DK197" s="125">
        <f>DK221*DK$214</f>
        <v>256.724488648989</v>
      </c>
      <c r="DL197" s="125">
        <f>DL221*DL$214</f>
        <v>235.150067144148</v>
      </c>
      <c r="DM197" s="125">
        <f>DM221*DM$214</f>
        <v>291.373646676035</v>
      </c>
      <c r="DN197" s="124">
        <f>DM197</f>
        <v>291.373646676035</v>
      </c>
      <c r="DO197" s="125">
        <f>DO221*DO$214</f>
        <v>271.081012522131</v>
      </c>
      <c r="DP197" s="125">
        <f>DP221*DP$214</f>
        <v>256.831537592405</v>
      </c>
      <c r="DQ197" s="125">
        <f>DQ221*DQ$214</f>
        <v>236.322678563073</v>
      </c>
      <c r="DR197" s="125">
        <f>DR221*DR$214</f>
        <v>294.626577589755</v>
      </c>
      <c r="DS197" s="124">
        <f>DR197</f>
        <v>294.626577589755</v>
      </c>
    </row>
    <row r="198" spans="1:123">
      <c r="B198" s="198" t="s">
        <v>143</v>
      </c>
      <c r="C198" s="124"/>
      <c r="H198" s="124"/>
      <c r="M198" s="124"/>
      <c r="R198" s="124"/>
      <c r="W198" s="124"/>
      <c r="AB198" s="124"/>
      <c r="AG198" s="124"/>
      <c r="AL198" s="124"/>
      <c r="AQ198" s="124"/>
      <c r="AV198" s="124"/>
      <c r="BA198" s="124"/>
      <c r="BF198" s="124"/>
      <c r="BK198" s="124"/>
      <c r="BP198" s="124"/>
      <c r="BR198" s="172"/>
      <c r="BU198" s="124"/>
      <c r="BV198" s="172">
        <v>127.18</v>
      </c>
      <c r="BW198" s="172">
        <v>130.182</v>
      </c>
      <c r="BX198" s="172">
        <v>131.385</v>
      </c>
      <c r="BY198" s="172">
        <v>128.497</v>
      </c>
      <c r="BZ198" s="173">
        <f>BY198</f>
        <v>128.497</v>
      </c>
      <c r="CA198" s="172">
        <v>144.646</v>
      </c>
      <c r="CB198" s="172">
        <v>147.941</v>
      </c>
      <c r="CC198" s="172">
        <v>138.082</v>
      </c>
      <c r="CD198" s="172">
        <v>166.091</v>
      </c>
      <c r="CE198" s="173">
        <f>CD198</f>
        <v>166.091</v>
      </c>
      <c r="CF198" s="172">
        <v>168.145</v>
      </c>
      <c r="CG198" s="172">
        <v>150.087</v>
      </c>
      <c r="CH198" s="172">
        <v>175.445</v>
      </c>
      <c r="CI198" s="172">
        <v>188.996</v>
      </c>
      <c r="CJ198" s="173">
        <f>CI198</f>
        <v>188.996</v>
      </c>
      <c r="CK198" s="172">
        <v>178.273</v>
      </c>
      <c r="CL198" s="172">
        <v>196.259</v>
      </c>
      <c r="CM198" s="172">
        <v>188.11</v>
      </c>
      <c r="CN198" s="172">
        <v>207.972</v>
      </c>
      <c r="CO198" s="173">
        <f>CN198</f>
        <v>207.972</v>
      </c>
      <c r="CP198" s="172">
        <v>210.506</v>
      </c>
      <c r="CQ198" s="172">
        <v>216.837</v>
      </c>
      <c r="CR198" s="172">
        <v>217.138</v>
      </c>
      <c r="CS198" s="172">
        <v>249.27</v>
      </c>
      <c r="CT198" s="173">
        <f>CS198</f>
        <v>249.27</v>
      </c>
      <c r="CU198" s="172">
        <v>254.443</v>
      </c>
      <c r="CV198" s="172">
        <v>278.067</v>
      </c>
      <c r="CW198" s="172">
        <v>290.368</v>
      </c>
      <c r="CX198" s="172">
        <v>275.154</v>
      </c>
      <c r="CY198" s="173">
        <f>CX198</f>
        <v>275.154</v>
      </c>
      <c r="CZ198" s="172">
        <v>281.837</v>
      </c>
      <c r="DA198" s="172">
        <v>297.919</v>
      </c>
      <c r="DB198" s="172">
        <v>317.482</v>
      </c>
      <c r="DC198" s="172">
        <v>298.724</v>
      </c>
      <c r="DD198" s="173">
        <f>DC198</f>
        <v>298.724</v>
      </c>
      <c r="DE198" s="172">
        <v>357.204</v>
      </c>
      <c r="DF198" s="172">
        <v>366.649</v>
      </c>
      <c r="DG198" s="596">
        <f t="shared" ref="DG198:DH199" si="481">DF198</f>
        <v>366.649</v>
      </c>
      <c r="DH198" s="596">
        <f t="shared" si="481"/>
        <v>366.649</v>
      </c>
      <c r="DI198" s="173">
        <f>DH198</f>
        <v>366.649</v>
      </c>
      <c r="DJ198" s="596">
        <f t="shared" ref="DJ198:DJ199" si="482">DI198</f>
        <v>366.649</v>
      </c>
      <c r="DK198" s="596">
        <f t="shared" ref="DK198:DK199" si="483">DJ198</f>
        <v>366.649</v>
      </c>
      <c r="DL198" s="596">
        <f t="shared" ref="DL198:DL199" si="484">DK198</f>
        <v>366.649</v>
      </c>
      <c r="DM198" s="596">
        <f t="shared" ref="DM198:DM199" si="485">DL198</f>
        <v>366.649</v>
      </c>
      <c r="DN198" s="173">
        <f>DM198</f>
        <v>366.649</v>
      </c>
      <c r="DO198" s="596">
        <f t="shared" ref="DO198:DO199" si="486">DN198</f>
        <v>366.649</v>
      </c>
      <c r="DP198" s="596">
        <f t="shared" ref="DP198:DP199" si="487">DO198</f>
        <v>366.649</v>
      </c>
      <c r="DQ198" s="596">
        <f t="shared" ref="DQ198:DQ199" si="488">DP198</f>
        <v>366.649</v>
      </c>
      <c r="DR198" s="596">
        <f t="shared" ref="DR198:DR199" si="489">DQ198</f>
        <v>366.649</v>
      </c>
      <c r="DS198" s="173">
        <f>DR198</f>
        <v>366.649</v>
      </c>
    </row>
    <row r="199" spans="1:123">
      <c r="B199" s="198" t="s">
        <v>144</v>
      </c>
      <c r="C199" s="124"/>
      <c r="H199" s="124"/>
      <c r="M199" s="124">
        <f>11.701805+2.816751+9.177953+0.034278</f>
        <v>23.730787</v>
      </c>
      <c r="R199" s="124">
        <f>7.473205+7.969862+5.71982+1.345088</f>
        <v>22.507975</v>
      </c>
      <c r="W199" s="124">
        <f>22.103+5.862+2.133+9.278+0.69</f>
        <v>40.066</v>
      </c>
      <c r="AB199" s="124">
        <f>17.207+10.626+7.742+11.699+0.376</f>
        <v>47.65</v>
      </c>
      <c r="AG199" s="124">
        <f>25.266+16.872+18.399</f>
        <v>60.537</v>
      </c>
      <c r="AH199" s="125">
        <v>39.807</v>
      </c>
      <c r="AI199" s="125">
        <v>45.628</v>
      </c>
      <c r="AJ199" s="125">
        <v>63.645</v>
      </c>
      <c r="AK199" s="125">
        <f>AL199</f>
        <v>66.13</v>
      </c>
      <c r="AL199" s="124">
        <f>34.535+22.875+8.72</f>
        <v>66.13</v>
      </c>
      <c r="AM199" s="125">
        <v>48.903</v>
      </c>
      <c r="AN199" s="125">
        <v>50.319</v>
      </c>
      <c r="AO199" s="125">
        <v>66.961</v>
      </c>
      <c r="AP199" s="125">
        <f>AQ199</f>
        <v>57.562</v>
      </c>
      <c r="AQ199" s="124">
        <f>30.032+27.53</f>
        <v>57.562</v>
      </c>
      <c r="AR199" s="125">
        <v>88.57</v>
      </c>
      <c r="AS199" s="125">
        <v>88.22</v>
      </c>
      <c r="AT199" s="125">
        <v>89.831</v>
      </c>
      <c r="AU199" s="125">
        <f>AV199</f>
        <v>61.755</v>
      </c>
      <c r="AV199" s="124">
        <f>100.098-AV197</f>
        <v>61.755</v>
      </c>
      <c r="AW199" s="125">
        <v>67.604</v>
      </c>
      <c r="AX199" s="125">
        <v>107.8</v>
      </c>
      <c r="AY199" s="125">
        <v>110.189</v>
      </c>
      <c r="AZ199" s="125">
        <f>BA199</f>
        <v>104.29</v>
      </c>
      <c r="BA199" s="124">
        <f>22.296+20.073+31.989+29.932</f>
        <v>104.29</v>
      </c>
      <c r="BB199" s="125">
        <v>98.938</v>
      </c>
      <c r="BC199" s="125">
        <v>104.472</v>
      </c>
      <c r="BD199" s="125">
        <v>167.36</v>
      </c>
      <c r="BE199" s="125">
        <f>BF199</f>
        <v>157.387</v>
      </c>
      <c r="BF199" s="124">
        <f>25.451+43.524+37.736+50.676</f>
        <v>157.387</v>
      </c>
      <c r="BG199" s="125">
        <v>145.598</v>
      </c>
      <c r="BH199" s="125">
        <v>142.962</v>
      </c>
      <c r="BI199" s="125">
        <v>159.403</v>
      </c>
      <c r="BJ199" s="125">
        <f>BK199</f>
        <v>146.149</v>
      </c>
      <c r="BK199" s="124">
        <f>8.601+55.238+30.29+52.02</f>
        <v>146.149</v>
      </c>
      <c r="BL199" s="125">
        <v>138.042</v>
      </c>
      <c r="BM199" s="125">
        <v>149.072</v>
      </c>
      <c r="BN199" s="125">
        <v>173.964</v>
      </c>
      <c r="BO199" s="125">
        <f>13.027+70.141+15.7+6.427+79.989</f>
        <v>185.284</v>
      </c>
      <c r="BP199" s="173">
        <f>BO199</f>
        <v>185.284</v>
      </c>
      <c r="BQ199" s="125">
        <f>19.861+54.261+19.445+5.523+82.486</f>
        <v>181.576</v>
      </c>
      <c r="BR199" s="172">
        <f>62.794+12.597+3.021+95.806</f>
        <v>174.218</v>
      </c>
      <c r="BS199" s="172">
        <f>11.446+85.446+24.545+105.62</f>
        <v>227.057</v>
      </c>
      <c r="BT199" s="172">
        <f>16.241+109.181+67.412+112.698</f>
        <v>305.532</v>
      </c>
      <c r="BU199" s="173">
        <f>BT199</f>
        <v>305.532</v>
      </c>
      <c r="BV199" s="172">
        <f>8.9+75.286+9.377+108.726</f>
        <v>202.289</v>
      </c>
      <c r="BW199" s="172">
        <f>8.778+5.09+117.682+100.735</f>
        <v>232.285</v>
      </c>
      <c r="BX199" s="172">
        <f>10.074+98.442+12.351+131.211</f>
        <v>252.078</v>
      </c>
      <c r="BY199" s="172">
        <f>6.344+133.688+26.436+125.043</f>
        <v>291.511</v>
      </c>
      <c r="BZ199" s="173">
        <f>BY199</f>
        <v>291.511</v>
      </c>
      <c r="CA199" s="172">
        <f>9.86+69.455+28.729+194.58</f>
        <v>302.624</v>
      </c>
      <c r="CB199" s="172">
        <f>177.436+31.675+84.102+75.153+17.81</f>
        <v>386.176</v>
      </c>
      <c r="CC199" s="172">
        <f>10.654+190.366+96.527+23.892+5.818</f>
        <v>327.257</v>
      </c>
      <c r="CD199" s="172">
        <f>14.956+211.911+130.171+8.357+23.598</f>
        <v>388.993</v>
      </c>
      <c r="CE199" s="173">
        <f>CD199</f>
        <v>388.993</v>
      </c>
      <c r="CF199" s="172">
        <f>9.356+258.642+154.729+7.997+27.862</f>
        <v>458.586</v>
      </c>
      <c r="CG199" s="172">
        <f>33.316+269.024+150.331+13.743+24.286</f>
        <v>490.7</v>
      </c>
      <c r="CH199" s="172">
        <f>10.038+314.394+181.863+43.199+28.358</f>
        <v>577.852</v>
      </c>
      <c r="CI199" s="172">
        <f>330.8+204.921+133.852+48.842</f>
        <v>718.415</v>
      </c>
      <c r="CJ199" s="173">
        <f>CI199</f>
        <v>718.415</v>
      </c>
      <c r="CK199" s="172">
        <f>362.938+119.482+22.279+31.923</f>
        <v>536.622</v>
      </c>
      <c r="CL199" s="172">
        <f>345.105+153.381+50.815+29.057</f>
        <v>578.358</v>
      </c>
      <c r="CM199" s="172">
        <f>357.365+184.122+80.947+39.762</f>
        <v>662.196</v>
      </c>
      <c r="CN199" s="172">
        <f>399.223+248.167+174.221+38.405</f>
        <v>860.016</v>
      </c>
      <c r="CO199" s="173">
        <f>CN199</f>
        <v>860.016</v>
      </c>
      <c r="CP199" s="172">
        <f>342.751+125.053+30.213+36.814</f>
        <v>534.831</v>
      </c>
      <c r="CQ199" s="172">
        <f>399.178+192.289+20.576+42.46</f>
        <v>654.503</v>
      </c>
      <c r="CR199" s="172">
        <f>392.949+250.479+27.231+37.737</f>
        <v>708.396</v>
      </c>
      <c r="CS199" s="172">
        <f>40.308+12.098+326.11+348.555</f>
        <v>727.071</v>
      </c>
      <c r="CT199" s="173">
        <f>CS199</f>
        <v>727.071</v>
      </c>
      <c r="CU199" s="172">
        <f>374.446+132.911+53.087+38.783</f>
        <v>599.227</v>
      </c>
      <c r="CV199" s="172">
        <f>32.126+19.231+174.702+396.423</f>
        <v>622.482</v>
      </c>
      <c r="CW199" s="172">
        <f>561.615+190.169+40.286+96.808</f>
        <v>888.878</v>
      </c>
      <c r="CX199" s="172">
        <f>559.463+204.543+37.586+183.126</f>
        <v>984.718</v>
      </c>
      <c r="CY199" s="173">
        <f>CX199</f>
        <v>984.718</v>
      </c>
      <c r="CZ199" s="172">
        <f>506.996+144.222+31.276+33.003</f>
        <v>715.497</v>
      </c>
      <c r="DA199" s="172">
        <f>423.933+148.895+26.746+34.186</f>
        <v>633.76</v>
      </c>
      <c r="DB199" s="172">
        <f>621.155+186.378+48.494+62.712</f>
        <v>918.739</v>
      </c>
      <c r="DC199" s="172">
        <f>662.982+187.887+45.954+43.948</f>
        <v>940.771</v>
      </c>
      <c r="DD199" s="173">
        <f>DC199</f>
        <v>940.771</v>
      </c>
      <c r="DE199" s="172">
        <f>586.317+50.13+37.586+172.395</f>
        <v>846.428</v>
      </c>
      <c r="DF199" s="172">
        <f>584.912+122.747+67.375+35.933</f>
        <v>810.967</v>
      </c>
      <c r="DG199" s="596">
        <f t="shared" si="481"/>
        <v>810.967</v>
      </c>
      <c r="DH199" s="596">
        <f t="shared" si="481"/>
        <v>810.967</v>
      </c>
      <c r="DI199" s="173">
        <f>DH199</f>
        <v>810.967</v>
      </c>
      <c r="DJ199" s="596">
        <f t="shared" si="482"/>
        <v>810.967</v>
      </c>
      <c r="DK199" s="596">
        <f t="shared" si="483"/>
        <v>810.967</v>
      </c>
      <c r="DL199" s="596">
        <f t="shared" si="484"/>
        <v>810.967</v>
      </c>
      <c r="DM199" s="596">
        <f t="shared" si="485"/>
        <v>810.967</v>
      </c>
      <c r="DN199" s="173">
        <f>DM199</f>
        <v>810.967</v>
      </c>
      <c r="DO199" s="596">
        <f t="shared" si="486"/>
        <v>810.967</v>
      </c>
      <c r="DP199" s="596">
        <f t="shared" si="487"/>
        <v>810.967</v>
      </c>
      <c r="DQ199" s="596">
        <f t="shared" si="488"/>
        <v>810.967</v>
      </c>
      <c r="DR199" s="596">
        <f t="shared" si="489"/>
        <v>810.967</v>
      </c>
      <c r="DS199" s="173">
        <f>DR199</f>
        <v>810.967</v>
      </c>
    </row>
    <row r="200" spans="1:123">
      <c r="B200" s="198"/>
      <c r="C200" s="124"/>
      <c r="H200" s="124"/>
      <c r="M200" s="124"/>
      <c r="R200" s="124"/>
      <c r="W200" s="124"/>
      <c r="AB200" s="124"/>
      <c r="AG200" s="124"/>
      <c r="AL200" s="124"/>
      <c r="AQ200" s="124"/>
      <c r="AV200" s="124"/>
      <c r="BA200" s="124"/>
      <c r="BF200" s="124"/>
      <c r="BK200" s="124"/>
      <c r="BP200" s="124"/>
      <c r="BR200" s="172"/>
      <c r="BU200" s="124"/>
      <c r="BZ200" s="124"/>
      <c r="CD200" s="172"/>
      <c r="CE200" s="124"/>
      <c r="CG200" s="172"/>
      <c r="CJ200" s="124"/>
      <c r="CL200" s="172"/>
      <c r="CO200" s="124"/>
      <c r="CT200" s="124"/>
      <c r="CX200" s="172"/>
      <c r="CY200" s="124"/>
      <c r="CZ200" s="172"/>
      <c r="DD200" s="124"/>
      <c r="DE200" s="172"/>
      <c r="DF200" s="172"/>
      <c r="DI200" s="124"/>
      <c r="DN200" s="124"/>
      <c r="DS200" s="124"/>
    </row>
    <row r="201" s="3" customFormat="1" spans="1:123">
      <c r="A201" s="132"/>
      <c r="B201" s="597" t="s">
        <v>145</v>
      </c>
      <c r="C201" s="598"/>
      <c r="D201" s="599"/>
      <c r="E201" s="599"/>
      <c r="F201" s="599"/>
      <c r="G201" s="599"/>
      <c r="H201" s="598"/>
      <c r="I201" s="599"/>
      <c r="J201" s="599"/>
      <c r="K201" s="599"/>
      <c r="L201" s="599"/>
      <c r="M201" s="598">
        <f>SUM(M195:M199)</f>
        <v>31.93859</v>
      </c>
      <c r="N201" s="599"/>
      <c r="O201" s="599"/>
      <c r="P201" s="599"/>
      <c r="Q201" s="599"/>
      <c r="R201" s="598">
        <f>SUM(R195:R199)</f>
        <v>35.821551</v>
      </c>
      <c r="S201" s="599"/>
      <c r="T201" s="599"/>
      <c r="U201" s="599"/>
      <c r="V201" s="599"/>
      <c r="W201" s="598">
        <f>SUM(W195:W199)</f>
        <v>45.335</v>
      </c>
      <c r="X201" s="599"/>
      <c r="Y201" s="599"/>
      <c r="Z201" s="599"/>
      <c r="AA201" s="599"/>
      <c r="AB201" s="598">
        <f>SUM(AB195:AB199)</f>
        <v>58.678</v>
      </c>
      <c r="AC201" s="599"/>
      <c r="AD201" s="599"/>
      <c r="AE201" s="599"/>
      <c r="AF201" s="599"/>
      <c r="AG201" s="598">
        <f>SUM(AG195:AG199)</f>
        <v>85.364</v>
      </c>
      <c r="AH201" s="599">
        <v>58.99</v>
      </c>
      <c r="AI201" s="599">
        <v>64.958</v>
      </c>
      <c r="AJ201" s="599">
        <v>82.514</v>
      </c>
      <c r="AK201" s="599">
        <f t="shared" ref="AK201:BP201" si="490">SUM(AK195:AK199)</f>
        <v>103.439</v>
      </c>
      <c r="AL201" s="598">
        <f t="shared" si="490"/>
        <v>103.439</v>
      </c>
      <c r="AM201" s="599">
        <f t="shared" si="490"/>
        <v>70.834</v>
      </c>
      <c r="AN201" s="599">
        <f t="shared" si="490"/>
        <v>74.976</v>
      </c>
      <c r="AO201" s="599">
        <f t="shared" si="490"/>
        <v>91.19</v>
      </c>
      <c r="AP201" s="599">
        <f t="shared" si="490"/>
        <v>133.357</v>
      </c>
      <c r="AQ201" s="598">
        <f t="shared" si="490"/>
        <v>133.357</v>
      </c>
      <c r="AR201" s="599">
        <f t="shared" si="490"/>
        <v>92.326</v>
      </c>
      <c r="AS201" s="599">
        <f t="shared" si="490"/>
        <v>100.941</v>
      </c>
      <c r="AT201" s="599">
        <f t="shared" si="490"/>
        <v>94.614</v>
      </c>
      <c r="AU201" s="599">
        <f t="shared" si="490"/>
        <v>113.514</v>
      </c>
      <c r="AV201" s="598">
        <f t="shared" si="490"/>
        <v>113.514</v>
      </c>
      <c r="AW201" s="599">
        <f t="shared" si="490"/>
        <v>105.483</v>
      </c>
      <c r="AX201" s="599">
        <f t="shared" si="490"/>
        <v>114.9</v>
      </c>
      <c r="AY201" s="599">
        <f t="shared" si="490"/>
        <v>147.75</v>
      </c>
      <c r="AZ201" s="599">
        <f t="shared" si="490"/>
        <v>159.881</v>
      </c>
      <c r="BA201" s="598">
        <f t="shared" si="490"/>
        <v>159.881</v>
      </c>
      <c r="BB201" s="599">
        <f t="shared" si="490"/>
        <v>143.482</v>
      </c>
      <c r="BC201" s="599">
        <f t="shared" si="490"/>
        <v>148.108</v>
      </c>
      <c r="BD201" s="599">
        <f t="shared" si="490"/>
        <v>208.328</v>
      </c>
      <c r="BE201" s="599">
        <f t="shared" si="490"/>
        <v>225.504</v>
      </c>
      <c r="BF201" s="598">
        <f t="shared" si="490"/>
        <v>225.504</v>
      </c>
      <c r="BG201" s="599">
        <f t="shared" si="490"/>
        <v>202.428</v>
      </c>
      <c r="BH201" s="599">
        <f t="shared" si="490"/>
        <v>197.438</v>
      </c>
      <c r="BI201" s="599">
        <f t="shared" si="490"/>
        <v>212.708</v>
      </c>
      <c r="BJ201" s="599">
        <f t="shared" si="490"/>
        <v>241.449</v>
      </c>
      <c r="BK201" s="598">
        <f t="shared" si="490"/>
        <v>241.449</v>
      </c>
      <c r="BL201" s="599">
        <f t="shared" si="490"/>
        <v>205.973</v>
      </c>
      <c r="BM201" s="599">
        <f t="shared" si="490"/>
        <v>224.291</v>
      </c>
      <c r="BN201" s="599">
        <f t="shared" si="490"/>
        <v>240.577</v>
      </c>
      <c r="BO201" s="599">
        <f t="shared" si="490"/>
        <v>292.598</v>
      </c>
      <c r="BP201" s="598">
        <f t="shared" si="490"/>
        <v>292.598</v>
      </c>
      <c r="BQ201" s="599">
        <f t="shared" ref="BQ201:CO201" si="491">SUM(BQ195:BQ199)</f>
        <v>267.341</v>
      </c>
      <c r="BR201" s="629">
        <f t="shared" si="491"/>
        <v>449.161</v>
      </c>
      <c r="BS201" s="599">
        <f t="shared" si="491"/>
        <v>443.671</v>
      </c>
      <c r="BT201" s="599">
        <f t="shared" si="491"/>
        <v>500.477</v>
      </c>
      <c r="BU201" s="598">
        <f t="shared" si="491"/>
        <v>500.477</v>
      </c>
      <c r="BV201" s="599">
        <f t="shared" si="491"/>
        <v>502.942</v>
      </c>
      <c r="BW201" s="599">
        <f t="shared" si="491"/>
        <v>552.609</v>
      </c>
      <c r="BX201" s="599">
        <f t="shared" si="491"/>
        <v>574.769</v>
      </c>
      <c r="BY201" s="599">
        <f t="shared" si="491"/>
        <v>620.418</v>
      </c>
      <c r="BZ201" s="598">
        <f t="shared" si="491"/>
        <v>620.418</v>
      </c>
      <c r="CA201" s="599">
        <f t="shared" si="491"/>
        <v>631.496</v>
      </c>
      <c r="CB201" s="599">
        <f t="shared" si="491"/>
        <v>763.309</v>
      </c>
      <c r="CC201" s="599">
        <f t="shared" si="491"/>
        <v>730.878</v>
      </c>
      <c r="CD201" s="599">
        <f t="shared" si="491"/>
        <v>883.178</v>
      </c>
      <c r="CE201" s="598">
        <f t="shared" si="491"/>
        <v>883.178</v>
      </c>
      <c r="CF201" s="599">
        <f t="shared" si="491"/>
        <v>964.814</v>
      </c>
      <c r="CG201" s="599">
        <f t="shared" si="491"/>
        <v>981.354</v>
      </c>
      <c r="CH201" s="599">
        <f t="shared" si="491"/>
        <v>1118.02</v>
      </c>
      <c r="CI201" s="599">
        <f t="shared" si="491"/>
        <v>1405.334</v>
      </c>
      <c r="CJ201" s="598">
        <f t="shared" si="491"/>
        <v>1405.334</v>
      </c>
      <c r="CK201" s="599">
        <f t="shared" si="491"/>
        <v>1206.891</v>
      </c>
      <c r="CL201" s="599">
        <f t="shared" si="491"/>
        <v>1207.21</v>
      </c>
      <c r="CM201" s="599">
        <f t="shared" si="491"/>
        <v>1322.835</v>
      </c>
      <c r="CN201" s="599">
        <f t="shared" si="491"/>
        <v>1492.198</v>
      </c>
      <c r="CO201" s="598">
        <f t="shared" si="491"/>
        <v>1492.198</v>
      </c>
      <c r="CP201" s="599">
        <f t="shared" ref="CP201:DI201" si="492">SUM(CP195:CP199)</f>
        <v>1256.771</v>
      </c>
      <c r="CQ201" s="599">
        <f t="shared" si="492"/>
        <v>1386.37</v>
      </c>
      <c r="CR201" s="599">
        <f t="shared" si="492"/>
        <v>1448.114</v>
      </c>
      <c r="CS201" s="599">
        <f t="shared" si="492"/>
        <v>1631.261</v>
      </c>
      <c r="CT201" s="598">
        <f t="shared" si="492"/>
        <v>1631.261</v>
      </c>
      <c r="CU201" s="599">
        <f t="shared" si="492"/>
        <v>1383.571</v>
      </c>
      <c r="CV201" s="599">
        <f t="shared" si="492"/>
        <v>1468.651</v>
      </c>
      <c r="CW201" s="599">
        <f t="shared" si="492"/>
        <v>1803.533</v>
      </c>
      <c r="CX201" s="629">
        <f t="shared" ref="CX201" si="493">SUM(CX195:CX199)</f>
        <v>1839.63</v>
      </c>
      <c r="CY201" s="598">
        <f t="shared" si="492"/>
        <v>1839.63</v>
      </c>
      <c r="CZ201" s="629">
        <f t="shared" si="492"/>
        <v>1572.385</v>
      </c>
      <c r="DA201" s="599">
        <f t="shared" si="492"/>
        <v>1557.346</v>
      </c>
      <c r="DB201" s="599">
        <f t="shared" si="492"/>
        <v>1842.179</v>
      </c>
      <c r="DC201" s="599">
        <f t="shared" si="492"/>
        <v>1887.548</v>
      </c>
      <c r="DD201" s="598">
        <f t="shared" ref="DD201" si="494">SUM(DD195:DD199)</f>
        <v>1887.548</v>
      </c>
      <c r="DE201" s="629">
        <f t="shared" si="492"/>
        <v>1794.316</v>
      </c>
      <c r="DF201" s="629">
        <f t="shared" si="492"/>
        <v>1801.651</v>
      </c>
      <c r="DG201" s="599">
        <f t="shared" si="492"/>
        <v>1794.44762115482</v>
      </c>
      <c r="DH201" s="599">
        <f t="shared" si="492"/>
        <v>1795.66823120331</v>
      </c>
      <c r="DI201" s="598">
        <f t="shared" si="492"/>
        <v>1795.66823120331</v>
      </c>
      <c r="DJ201" s="599">
        <f t="shared" ref="DJ201:DN201" si="495">SUM(DJ195:DJ199)</f>
        <v>1723.61828368847</v>
      </c>
      <c r="DK201" s="599">
        <f t="shared" si="495"/>
        <v>1767.24470019004</v>
      </c>
      <c r="DL201" s="599">
        <f t="shared" si="495"/>
        <v>1770.19641275569</v>
      </c>
      <c r="DM201" s="599">
        <f t="shared" si="495"/>
        <v>1789.48049962181</v>
      </c>
      <c r="DN201" s="598">
        <f t="shared" si="495"/>
        <v>1789.48049962181</v>
      </c>
      <c r="DO201" s="599">
        <f t="shared" ref="DO201:DS201" si="496">SUM(DO195:DO199)</f>
        <v>1725.96195777364</v>
      </c>
      <c r="DP201" s="599">
        <f t="shared" si="496"/>
        <v>1768.40483878375</v>
      </c>
      <c r="DQ201" s="599">
        <f t="shared" si="496"/>
        <v>1774.10122885931</v>
      </c>
      <c r="DR201" s="599">
        <f t="shared" si="496"/>
        <v>1797.0358787467</v>
      </c>
      <c r="DS201" s="598">
        <f t="shared" si="496"/>
        <v>1797.0358787467</v>
      </c>
    </row>
    <row r="202" spans="1:123">
      <c r="B202" s="198" t="s">
        <v>146</v>
      </c>
      <c r="C202" s="124"/>
      <c r="H202" s="124"/>
      <c r="M202" s="124">
        <v>0</v>
      </c>
      <c r="R202" s="124">
        <v>0</v>
      </c>
      <c r="W202" s="124">
        <v>0</v>
      </c>
      <c r="AB202" s="124">
        <v>0</v>
      </c>
      <c r="AG202" s="124">
        <v>0</v>
      </c>
      <c r="AH202" s="125">
        <v>0</v>
      </c>
      <c r="AI202" s="125">
        <v>0</v>
      </c>
      <c r="AJ202" s="125">
        <v>0</v>
      </c>
      <c r="AK202" s="125">
        <f>AL202</f>
        <v>0</v>
      </c>
      <c r="AL202" s="124">
        <v>0</v>
      </c>
      <c r="AM202" s="125">
        <v>0</v>
      </c>
      <c r="AN202" s="125">
        <v>0</v>
      </c>
      <c r="AO202" s="125">
        <v>0</v>
      </c>
      <c r="AP202" s="125">
        <f>AQ202</f>
        <v>0</v>
      </c>
      <c r="AQ202" s="124">
        <f>AL202+AQ156</f>
        <v>0</v>
      </c>
      <c r="AR202" s="125">
        <v>0</v>
      </c>
      <c r="AS202" s="125">
        <v>0</v>
      </c>
      <c r="AT202" s="125">
        <v>0</v>
      </c>
      <c r="AU202" s="125">
        <f>AV202</f>
        <v>0</v>
      </c>
      <c r="AV202" s="124">
        <f>AQ202</f>
        <v>0</v>
      </c>
      <c r="AW202" s="125">
        <v>0</v>
      </c>
      <c r="AX202" s="125">
        <v>0</v>
      </c>
      <c r="AY202" s="125">
        <v>0</v>
      </c>
      <c r="AZ202" s="125">
        <f>BA202</f>
        <v>0</v>
      </c>
      <c r="BA202" s="124">
        <f>AV202</f>
        <v>0</v>
      </c>
      <c r="BB202" s="125">
        <v>0</v>
      </c>
      <c r="BC202" s="125">
        <v>0</v>
      </c>
      <c r="BD202" s="125">
        <v>0</v>
      </c>
      <c r="BE202" s="125">
        <f>BF202</f>
        <v>0</v>
      </c>
      <c r="BF202" s="124">
        <v>0</v>
      </c>
      <c r="BG202" s="125">
        <v>0</v>
      </c>
      <c r="BH202" s="125">
        <v>0</v>
      </c>
      <c r="BI202" s="125">
        <v>0</v>
      </c>
      <c r="BJ202" s="125">
        <f>BK202</f>
        <v>0</v>
      </c>
      <c r="BK202" s="124">
        <f>BF202</f>
        <v>0</v>
      </c>
      <c r="BL202" s="125">
        <v>0</v>
      </c>
      <c r="BM202" s="125">
        <v>0</v>
      </c>
      <c r="BN202" s="125">
        <v>0</v>
      </c>
      <c r="BO202" s="172">
        <v>0</v>
      </c>
      <c r="BP202" s="173">
        <f>BO202</f>
        <v>0</v>
      </c>
      <c r="BQ202" s="125">
        <v>0</v>
      </c>
      <c r="BR202" s="172">
        <v>0</v>
      </c>
      <c r="BS202" s="172">
        <v>0</v>
      </c>
      <c r="BT202" s="172">
        <v>0</v>
      </c>
      <c r="BU202" s="173">
        <f>BT202</f>
        <v>0</v>
      </c>
      <c r="BV202" s="172">
        <v>0</v>
      </c>
      <c r="BW202" s="172">
        <v>0</v>
      </c>
      <c r="BX202" s="172">
        <v>0</v>
      </c>
      <c r="BY202" s="172">
        <v>0</v>
      </c>
      <c r="BZ202" s="173">
        <f t="shared" ref="BZ202:CA204" si="497">BY202</f>
        <v>0</v>
      </c>
      <c r="CA202" s="172">
        <f t="shared" si="497"/>
        <v>0</v>
      </c>
      <c r="CB202" s="172">
        <v>0</v>
      </c>
      <c r="CC202" s="172">
        <v>0</v>
      </c>
      <c r="CD202" s="172">
        <v>0</v>
      </c>
      <c r="CE202" s="173">
        <f t="shared" ref="CE202:CE207" si="498">CD202</f>
        <v>0</v>
      </c>
      <c r="CF202" s="172">
        <v>0</v>
      </c>
      <c r="CG202" s="172">
        <v>0</v>
      </c>
      <c r="CH202" s="172">
        <v>0</v>
      </c>
      <c r="CI202" s="172">
        <v>0</v>
      </c>
      <c r="CJ202" s="173">
        <f t="shared" ref="CJ202:CJ207" si="499">CI202</f>
        <v>0</v>
      </c>
      <c r="CK202" s="172">
        <v>0</v>
      </c>
      <c r="CL202" s="172">
        <v>0</v>
      </c>
      <c r="CM202" s="172">
        <v>0</v>
      </c>
      <c r="CN202" s="172">
        <v>0</v>
      </c>
      <c r="CO202" s="173">
        <f t="shared" ref="CO202:CO207" si="500">CN202</f>
        <v>0</v>
      </c>
      <c r="CP202" s="172">
        <v>0</v>
      </c>
      <c r="CQ202" s="172">
        <v>0</v>
      </c>
      <c r="CR202" s="172">
        <v>0</v>
      </c>
      <c r="CS202" s="172">
        <v>0</v>
      </c>
      <c r="CT202" s="173">
        <f t="shared" ref="CT202:CT207" si="501">CS202</f>
        <v>0</v>
      </c>
      <c r="CU202" s="172">
        <v>0</v>
      </c>
      <c r="CV202" s="172">
        <v>0</v>
      </c>
      <c r="CW202" s="172">
        <v>0</v>
      </c>
      <c r="CX202" s="172">
        <v>0</v>
      </c>
      <c r="CY202" s="173">
        <f t="shared" ref="CY202:DD207" si="502">CX202</f>
        <v>0</v>
      </c>
      <c r="CZ202" s="172">
        <v>0</v>
      </c>
      <c r="DA202" s="172">
        <v>0</v>
      </c>
      <c r="DB202" s="172">
        <v>0</v>
      </c>
      <c r="DC202" s="172">
        <v>0</v>
      </c>
      <c r="DD202" s="173">
        <f t="shared" si="502"/>
        <v>0</v>
      </c>
      <c r="DE202" s="172">
        <v>0</v>
      </c>
      <c r="DF202" s="172">
        <v>0</v>
      </c>
      <c r="DG202" s="596">
        <f t="shared" ref="DG202:DH204" si="503">DF202</f>
        <v>0</v>
      </c>
      <c r="DH202" s="596">
        <f t="shared" si="503"/>
        <v>0</v>
      </c>
      <c r="DI202" s="173">
        <f t="shared" ref="DI202:DI207" si="504">DH202</f>
        <v>0</v>
      </c>
      <c r="DJ202" s="596">
        <f t="shared" ref="DJ202:DJ204" si="505">DI202</f>
        <v>0</v>
      </c>
      <c r="DK202" s="596">
        <f t="shared" ref="DK202:DK204" si="506">DJ202</f>
        <v>0</v>
      </c>
      <c r="DL202" s="596">
        <f t="shared" ref="DL202:DL204" si="507">DK202</f>
        <v>0</v>
      </c>
      <c r="DM202" s="596">
        <f t="shared" ref="DM202:DM204" si="508">DL202</f>
        <v>0</v>
      </c>
      <c r="DN202" s="173">
        <f t="shared" ref="DN202:DN207" si="509">DM202</f>
        <v>0</v>
      </c>
      <c r="DO202" s="596">
        <f t="shared" ref="DO202:DO204" si="510">DN202</f>
        <v>0</v>
      </c>
      <c r="DP202" s="596">
        <f t="shared" ref="DP202:DP204" si="511">DO202</f>
        <v>0</v>
      </c>
      <c r="DQ202" s="596">
        <f t="shared" ref="DQ202:DQ204" si="512">DP202</f>
        <v>0</v>
      </c>
      <c r="DR202" s="596">
        <f t="shared" ref="DR202:DR204" si="513">DQ202</f>
        <v>0</v>
      </c>
      <c r="DS202" s="173">
        <f t="shared" ref="DS202:DS207" si="514">DR202</f>
        <v>0</v>
      </c>
    </row>
    <row r="203" spans="1:123">
      <c r="B203" s="198" t="s">
        <v>103</v>
      </c>
      <c r="C203" s="124"/>
      <c r="H203" s="124"/>
      <c r="M203" s="124"/>
      <c r="R203" s="124"/>
      <c r="W203" s="124"/>
      <c r="AB203" s="124"/>
      <c r="AG203" s="124"/>
      <c r="AH203" s="125">
        <v>0</v>
      </c>
      <c r="AI203" s="125">
        <v>0</v>
      </c>
      <c r="AJ203" s="125">
        <v>0</v>
      </c>
      <c r="AK203" s="125">
        <f>AL203</f>
        <v>0</v>
      </c>
      <c r="AL203" s="124"/>
      <c r="AM203" s="125">
        <v>0</v>
      </c>
      <c r="AN203" s="125">
        <v>0</v>
      </c>
      <c r="AO203" s="125">
        <v>0</v>
      </c>
      <c r="AP203" s="125">
        <f>AQ203</f>
        <v>0</v>
      </c>
      <c r="AQ203" s="124">
        <v>0</v>
      </c>
      <c r="AR203" s="125">
        <v>0</v>
      </c>
      <c r="AS203" s="125">
        <v>0</v>
      </c>
      <c r="AT203" s="125">
        <v>0</v>
      </c>
      <c r="AU203" s="125">
        <f>AV203</f>
        <v>0</v>
      </c>
      <c r="AV203" s="124">
        <v>0</v>
      </c>
      <c r="AW203" s="125">
        <v>0</v>
      </c>
      <c r="AX203" s="125">
        <v>0</v>
      </c>
      <c r="AY203" s="125">
        <v>11.376</v>
      </c>
      <c r="AZ203" s="125">
        <f>BA203</f>
        <v>0</v>
      </c>
      <c r="BA203" s="124">
        <v>0</v>
      </c>
      <c r="BB203" s="125">
        <v>0</v>
      </c>
      <c r="BC203" s="125">
        <v>0</v>
      </c>
      <c r="BD203" s="125">
        <v>0</v>
      </c>
      <c r="BE203" s="125">
        <f>BF203</f>
        <v>0</v>
      </c>
      <c r="BF203" s="124">
        <v>0</v>
      </c>
      <c r="BG203" s="125">
        <v>0</v>
      </c>
      <c r="BH203" s="125">
        <v>11.198</v>
      </c>
      <c r="BI203" s="125">
        <v>11.064</v>
      </c>
      <c r="BJ203" s="125">
        <f>BK203</f>
        <v>0</v>
      </c>
      <c r="BK203" s="124">
        <v>0</v>
      </c>
      <c r="BL203" s="125">
        <v>6.95</v>
      </c>
      <c r="BM203" s="125">
        <v>7.668</v>
      </c>
      <c r="BN203" s="125">
        <v>0</v>
      </c>
      <c r="BO203" s="172">
        <v>1.336</v>
      </c>
      <c r="BP203" s="173">
        <f>BO203</f>
        <v>1.336</v>
      </c>
      <c r="BQ203" s="125">
        <v>1.582</v>
      </c>
      <c r="BR203" s="172">
        <v>1.582</v>
      </c>
      <c r="BS203" s="172">
        <v>1.582</v>
      </c>
      <c r="BT203" s="172">
        <v>14.249</v>
      </c>
      <c r="BU203" s="173">
        <f>BT203</f>
        <v>14.249</v>
      </c>
      <c r="BV203" s="172">
        <v>13.834</v>
      </c>
      <c r="BW203" s="172">
        <v>14.114</v>
      </c>
      <c r="BX203" s="172">
        <v>14.19</v>
      </c>
      <c r="BY203" s="172">
        <v>43.432</v>
      </c>
      <c r="BZ203" s="173">
        <f t="shared" si="497"/>
        <v>43.432</v>
      </c>
      <c r="CA203" s="172">
        <v>40.764</v>
      </c>
      <c r="CB203" s="172">
        <v>46.901</v>
      </c>
      <c r="CC203" s="172">
        <v>47.199</v>
      </c>
      <c r="CD203" s="172">
        <v>58.755</v>
      </c>
      <c r="CE203" s="173">
        <f t="shared" si="498"/>
        <v>58.755</v>
      </c>
      <c r="CF203" s="172">
        <v>60.807</v>
      </c>
      <c r="CG203" s="172">
        <v>60.01</v>
      </c>
      <c r="CH203" s="172">
        <v>60.374</v>
      </c>
      <c r="CI203" s="172">
        <v>53.352</v>
      </c>
      <c r="CJ203" s="173">
        <f t="shared" si="499"/>
        <v>53.352</v>
      </c>
      <c r="CK203" s="172">
        <v>53.061</v>
      </c>
      <c r="CL203" s="172">
        <v>53.271</v>
      </c>
      <c r="CM203" s="172">
        <v>50.884</v>
      </c>
      <c r="CN203" s="172">
        <v>55.084</v>
      </c>
      <c r="CO203" s="173">
        <f t="shared" si="500"/>
        <v>55.084</v>
      </c>
      <c r="CP203" s="172">
        <v>54.533</v>
      </c>
      <c r="CQ203" s="172">
        <v>55.258</v>
      </c>
      <c r="CR203" s="172">
        <v>53.833</v>
      </c>
      <c r="CS203" s="172">
        <v>29.522</v>
      </c>
      <c r="CT203" s="173">
        <f t="shared" si="501"/>
        <v>29.522</v>
      </c>
      <c r="CU203" s="172">
        <v>29.15</v>
      </c>
      <c r="CV203" s="172">
        <v>28.876</v>
      </c>
      <c r="CW203" s="172">
        <v>33.231</v>
      </c>
      <c r="CX203" s="172">
        <v>98.188</v>
      </c>
      <c r="CY203" s="173">
        <f t="shared" si="502"/>
        <v>98.188</v>
      </c>
      <c r="CZ203" s="172">
        <v>98.189</v>
      </c>
      <c r="DA203" s="172">
        <v>62.4</v>
      </c>
      <c r="DB203" s="172">
        <v>111.59</v>
      </c>
      <c r="DC203" s="172">
        <v>52.278</v>
      </c>
      <c r="DD203" s="173">
        <f t="shared" si="502"/>
        <v>52.278</v>
      </c>
      <c r="DE203" s="172">
        <v>75.251</v>
      </c>
      <c r="DF203" s="172">
        <v>56.987</v>
      </c>
      <c r="DG203" s="596">
        <f t="shared" si="503"/>
        <v>56.987</v>
      </c>
      <c r="DH203" s="596">
        <f t="shared" si="503"/>
        <v>56.987</v>
      </c>
      <c r="DI203" s="173">
        <f t="shared" si="504"/>
        <v>56.987</v>
      </c>
      <c r="DJ203" s="596">
        <f t="shared" si="505"/>
        <v>56.987</v>
      </c>
      <c r="DK203" s="596">
        <f t="shared" si="506"/>
        <v>56.987</v>
      </c>
      <c r="DL203" s="596">
        <f t="shared" si="507"/>
        <v>56.987</v>
      </c>
      <c r="DM203" s="596">
        <f t="shared" si="508"/>
        <v>56.987</v>
      </c>
      <c r="DN203" s="173">
        <f t="shared" si="509"/>
        <v>56.987</v>
      </c>
      <c r="DO203" s="596">
        <f t="shared" si="510"/>
        <v>56.987</v>
      </c>
      <c r="DP203" s="596">
        <f t="shared" si="511"/>
        <v>56.987</v>
      </c>
      <c r="DQ203" s="596">
        <f t="shared" si="512"/>
        <v>56.987</v>
      </c>
      <c r="DR203" s="596">
        <f t="shared" si="513"/>
        <v>56.987</v>
      </c>
      <c r="DS203" s="173">
        <f t="shared" si="514"/>
        <v>56.987</v>
      </c>
    </row>
    <row r="204" spans="1:123">
      <c r="B204" s="198" t="s">
        <v>147</v>
      </c>
      <c r="C204" s="124"/>
      <c r="H204" s="124"/>
      <c r="M204" s="124"/>
      <c r="R204" s="124"/>
      <c r="W204" s="124"/>
      <c r="AB204" s="124"/>
      <c r="AG204" s="124"/>
      <c r="AL204" s="124"/>
      <c r="AQ204" s="124"/>
      <c r="AV204" s="124"/>
      <c r="BA204" s="124"/>
      <c r="BF204" s="124"/>
      <c r="BK204" s="124"/>
      <c r="BO204" s="172"/>
      <c r="BP204" s="173"/>
      <c r="BR204" s="172"/>
      <c r="BS204" s="172"/>
      <c r="BT204" s="172"/>
      <c r="BU204" s="173"/>
      <c r="BV204" s="172">
        <v>537.758</v>
      </c>
      <c r="BW204" s="172">
        <v>568.311</v>
      </c>
      <c r="BX204" s="172">
        <v>563.925</v>
      </c>
      <c r="BY204" s="172">
        <v>611.464</v>
      </c>
      <c r="BZ204" s="173">
        <f t="shared" si="497"/>
        <v>611.464</v>
      </c>
      <c r="CA204" s="172">
        <v>639.242</v>
      </c>
      <c r="CB204" s="172">
        <v>632.646</v>
      </c>
      <c r="CC204" s="172">
        <v>635.386</v>
      </c>
      <c r="CD204" s="172">
        <v>632.59</v>
      </c>
      <c r="CE204" s="173">
        <f t="shared" si="498"/>
        <v>632.59</v>
      </c>
      <c r="CF204" s="172">
        <v>616.917</v>
      </c>
      <c r="CG204" s="172">
        <v>644.734</v>
      </c>
      <c r="CH204" s="172">
        <v>684.46</v>
      </c>
      <c r="CI204" s="172">
        <v>692.056</v>
      </c>
      <c r="CJ204" s="173">
        <f t="shared" si="499"/>
        <v>692.056</v>
      </c>
      <c r="CK204" s="172">
        <v>726.27</v>
      </c>
      <c r="CL204" s="172">
        <v>757.865</v>
      </c>
      <c r="CM204" s="172">
        <v>850.373</v>
      </c>
      <c r="CN204" s="172">
        <v>862.362</v>
      </c>
      <c r="CO204" s="173">
        <f t="shared" si="500"/>
        <v>862.362</v>
      </c>
      <c r="CP204" s="172">
        <v>888.582</v>
      </c>
      <c r="CQ204" s="172">
        <v>976.736</v>
      </c>
      <c r="CR204" s="172">
        <v>950.954</v>
      </c>
      <c r="CS204" s="172">
        <v>1154.012</v>
      </c>
      <c r="CT204" s="173">
        <f t="shared" si="501"/>
        <v>1154.012</v>
      </c>
      <c r="CU204" s="172">
        <v>1147.631</v>
      </c>
      <c r="CV204" s="172">
        <v>1180.823</v>
      </c>
      <c r="CW204" s="172">
        <v>1223.733</v>
      </c>
      <c r="CX204" s="172">
        <v>1300.637</v>
      </c>
      <c r="CY204" s="173">
        <f t="shared" si="502"/>
        <v>1300.637</v>
      </c>
      <c r="CZ204" s="172">
        <v>1424.945</v>
      </c>
      <c r="DA204" s="172">
        <v>1464.799</v>
      </c>
      <c r="DB204" s="172">
        <v>1445.312</v>
      </c>
      <c r="DC204" s="172">
        <v>1499.717</v>
      </c>
      <c r="DD204" s="173">
        <f t="shared" si="502"/>
        <v>1499.717</v>
      </c>
      <c r="DE204" s="172">
        <v>1778.804</v>
      </c>
      <c r="DF204" s="172">
        <v>1774.478</v>
      </c>
      <c r="DG204" s="596">
        <f t="shared" si="503"/>
        <v>1774.478</v>
      </c>
      <c r="DH204" s="596">
        <f t="shared" si="503"/>
        <v>1774.478</v>
      </c>
      <c r="DI204" s="173">
        <f t="shared" si="504"/>
        <v>1774.478</v>
      </c>
      <c r="DJ204" s="596">
        <f t="shared" si="505"/>
        <v>1774.478</v>
      </c>
      <c r="DK204" s="596">
        <f t="shared" si="506"/>
        <v>1774.478</v>
      </c>
      <c r="DL204" s="596">
        <f t="shared" si="507"/>
        <v>1774.478</v>
      </c>
      <c r="DM204" s="596">
        <f t="shared" si="508"/>
        <v>1774.478</v>
      </c>
      <c r="DN204" s="173">
        <f t="shared" si="509"/>
        <v>1774.478</v>
      </c>
      <c r="DO204" s="596">
        <f t="shared" si="510"/>
        <v>1774.478</v>
      </c>
      <c r="DP204" s="596">
        <f t="shared" si="511"/>
        <v>1774.478</v>
      </c>
      <c r="DQ204" s="596">
        <f t="shared" si="512"/>
        <v>1774.478</v>
      </c>
      <c r="DR204" s="596">
        <f t="shared" si="513"/>
        <v>1774.478</v>
      </c>
      <c r="DS204" s="173">
        <f t="shared" si="514"/>
        <v>1774.478</v>
      </c>
    </row>
    <row r="205" spans="1:123">
      <c r="B205" s="198" t="s">
        <v>148</v>
      </c>
      <c r="C205" s="124"/>
      <c r="H205" s="124"/>
      <c r="M205" s="124">
        <f>2.023668+0.384354</f>
        <v>2.408022</v>
      </c>
      <c r="R205" s="124">
        <f>6.72122+0.196538</f>
        <v>6.917758</v>
      </c>
      <c r="W205" s="124">
        <f>11.301+0.158</f>
        <v>11.459</v>
      </c>
      <c r="AB205" s="124">
        <v>15.472</v>
      </c>
      <c r="AG205" s="124">
        <v>19.645</v>
      </c>
      <c r="AH205" s="125">
        <v>21.609</v>
      </c>
      <c r="AI205" s="125">
        <v>21.826</v>
      </c>
      <c r="AJ205" s="125">
        <v>24.466</v>
      </c>
      <c r="AK205" s="125">
        <f>AL205</f>
        <v>25.014</v>
      </c>
      <c r="AL205" s="124">
        <v>25.014</v>
      </c>
      <c r="AM205" s="125">
        <v>26.383</v>
      </c>
      <c r="AN205" s="125">
        <v>27.817</v>
      </c>
      <c r="AO205" s="125">
        <v>29.77</v>
      </c>
      <c r="AP205" s="125">
        <f>AQ205</f>
        <v>30.422</v>
      </c>
      <c r="AQ205" s="124">
        <v>30.422</v>
      </c>
      <c r="AR205" s="125">
        <v>31.09</v>
      </c>
      <c r="AS205" s="125">
        <v>33.893</v>
      </c>
      <c r="AT205" s="125">
        <v>37.18</v>
      </c>
      <c r="AU205" s="125">
        <f>AV205</f>
        <v>39.492</v>
      </c>
      <c r="AV205" s="124">
        <v>39.492</v>
      </c>
      <c r="AW205" s="125">
        <v>57.093</v>
      </c>
      <c r="AX205" s="125">
        <v>56.353</v>
      </c>
      <c r="AY205" s="125">
        <v>40.1</v>
      </c>
      <c r="AZ205" s="125">
        <f>BA205</f>
        <v>46.764</v>
      </c>
      <c r="BA205" s="124">
        <f>43.131+3.633</f>
        <v>46.764</v>
      </c>
      <c r="BB205" s="125">
        <v>49.223</v>
      </c>
      <c r="BC205" s="125">
        <v>50.645</v>
      </c>
      <c r="BD205" s="125">
        <v>53.272</v>
      </c>
      <c r="BE205" s="125">
        <f>BF205</f>
        <v>61.091</v>
      </c>
      <c r="BF205" s="124">
        <f>10.759+50.332</f>
        <v>61.091</v>
      </c>
      <c r="BG205" s="125">
        <v>63.002</v>
      </c>
      <c r="BH205" s="125">
        <v>50.663</v>
      </c>
      <c r="BI205" s="125">
        <v>50.699</v>
      </c>
      <c r="BJ205" s="125">
        <f>BK205</f>
        <v>56.119</v>
      </c>
      <c r="BK205" s="124">
        <f>48.857+7.262</f>
        <v>56.119</v>
      </c>
      <c r="BL205" s="125">
        <v>48.724</v>
      </c>
      <c r="BM205" s="125">
        <v>57.155</v>
      </c>
      <c r="BN205" s="125">
        <v>58.596</v>
      </c>
      <c r="BO205" s="172">
        <f>48.268+59.321</f>
        <v>107.589</v>
      </c>
      <c r="BP205" s="173">
        <f>BO205</f>
        <v>107.589</v>
      </c>
      <c r="BQ205" s="125">
        <f>44.078+62.47</f>
        <v>106.548</v>
      </c>
      <c r="BR205" s="172">
        <f>44.078+66.121</f>
        <v>110.199</v>
      </c>
      <c r="BS205" s="172">
        <f>54.112+74.889</f>
        <v>129.001</v>
      </c>
      <c r="BT205" s="172">
        <f>42.099+81.911</f>
        <v>124.01</v>
      </c>
      <c r="BU205" s="173">
        <f>BT205</f>
        <v>124.01</v>
      </c>
      <c r="BV205" s="172">
        <f>38.09+3.676</f>
        <v>41.766</v>
      </c>
      <c r="BW205" s="172">
        <f>48.226+4.105</f>
        <v>52.331</v>
      </c>
      <c r="BX205" s="172">
        <f>48.226+5.298</f>
        <v>53.524</v>
      </c>
      <c r="BY205" s="172">
        <f>48.226+5.596</f>
        <v>53.822</v>
      </c>
      <c r="BZ205" s="173">
        <f>BY205</f>
        <v>53.822</v>
      </c>
      <c r="CA205" s="172">
        <f>48.226+6.271</f>
        <v>54.497</v>
      </c>
      <c r="CB205" s="172">
        <f>43.15+6.919</f>
        <v>50.069</v>
      </c>
      <c r="CC205" s="172">
        <f>43.15+8.354</f>
        <v>51.504</v>
      </c>
      <c r="CD205" s="172">
        <f>43.15+8.976</f>
        <v>52.126</v>
      </c>
      <c r="CE205" s="173">
        <f t="shared" si="498"/>
        <v>52.126</v>
      </c>
      <c r="CF205" s="172">
        <f>38.073+9.365</f>
        <v>47.438</v>
      </c>
      <c r="CG205" s="172">
        <f>38.073+9.761</f>
        <v>47.834</v>
      </c>
      <c r="CH205" s="172">
        <f>38.073+12.625</f>
        <v>50.698</v>
      </c>
      <c r="CI205" s="172">
        <f>38.074+13.616</f>
        <v>51.69</v>
      </c>
      <c r="CJ205" s="173">
        <f t="shared" si="499"/>
        <v>51.69</v>
      </c>
      <c r="CK205" s="172">
        <f>28.555+14.385</f>
        <v>42.94</v>
      </c>
      <c r="CL205" s="172">
        <f>28.555+16.012</f>
        <v>44.567</v>
      </c>
      <c r="CM205" s="172">
        <f>28.555+17.585</f>
        <v>46.14</v>
      </c>
      <c r="CN205" s="172">
        <f>28.555+20.04</f>
        <v>48.595</v>
      </c>
      <c r="CO205" s="173">
        <f t="shared" si="500"/>
        <v>48.595</v>
      </c>
      <c r="CP205" s="172">
        <f>23.027+28.555</f>
        <v>51.582</v>
      </c>
      <c r="CQ205" s="172">
        <f>24.748+15.864</f>
        <v>40.612</v>
      </c>
      <c r="CR205" s="172">
        <f>15.864+27.65</f>
        <v>43.514</v>
      </c>
      <c r="CS205" s="172">
        <f>15.864+29.201</f>
        <v>45.065</v>
      </c>
      <c r="CT205" s="173">
        <f t="shared" si="501"/>
        <v>45.065</v>
      </c>
      <c r="CU205" s="172">
        <f>15.864+32.471</f>
        <v>48.335</v>
      </c>
      <c r="CV205" s="172">
        <f>34.14</f>
        <v>34.14</v>
      </c>
      <c r="CW205" s="172">
        <v>37.44</v>
      </c>
      <c r="CX205" s="172">
        <v>40.79</v>
      </c>
      <c r="CY205" s="173">
        <f t="shared" si="502"/>
        <v>40.79</v>
      </c>
      <c r="CZ205" s="172">
        <v>45.454</v>
      </c>
      <c r="DA205" s="172">
        <v>51.615</v>
      </c>
      <c r="DB205" s="172">
        <v>54.088</v>
      </c>
      <c r="DC205" s="172">
        <v>55.36</v>
      </c>
      <c r="DD205" s="173">
        <f t="shared" si="502"/>
        <v>55.36</v>
      </c>
      <c r="DE205" s="172">
        <v>57.469</v>
      </c>
      <c r="DF205" s="172">
        <v>60.288</v>
      </c>
      <c r="DG205" s="172">
        <f>DF205+DG92</f>
        <v>60.288</v>
      </c>
      <c r="DH205" s="172">
        <f>DG205+DH92</f>
        <v>60.288</v>
      </c>
      <c r="DI205" s="173">
        <f t="shared" si="504"/>
        <v>60.288</v>
      </c>
      <c r="DJ205" s="172">
        <f>DI205+DJ92</f>
        <v>60.288</v>
      </c>
      <c r="DK205" s="172">
        <f>DJ205+DK92</f>
        <v>60.288</v>
      </c>
      <c r="DL205" s="172">
        <f>DK205+DL92</f>
        <v>60.288</v>
      </c>
      <c r="DM205" s="172">
        <f>DL205+DM92</f>
        <v>60.288</v>
      </c>
      <c r="DN205" s="173">
        <f t="shared" si="509"/>
        <v>60.288</v>
      </c>
      <c r="DO205" s="172">
        <f>DN205+DO92</f>
        <v>60.288</v>
      </c>
      <c r="DP205" s="172">
        <f>DO205+DP92</f>
        <v>60.288</v>
      </c>
      <c r="DQ205" s="172">
        <f>DP205+DQ92</f>
        <v>60.288</v>
      </c>
      <c r="DR205" s="172">
        <f>DQ205+DR92</f>
        <v>60.288</v>
      </c>
      <c r="DS205" s="173">
        <f t="shared" si="514"/>
        <v>60.288</v>
      </c>
    </row>
    <row r="206" s="3" customFormat="1" spans="1:123">
      <c r="A206" s="132"/>
      <c r="B206" s="597" t="s">
        <v>149</v>
      </c>
      <c r="C206" s="598"/>
      <c r="D206" s="599"/>
      <c r="E206" s="599"/>
      <c r="F206" s="599"/>
      <c r="G206" s="599"/>
      <c r="H206" s="598"/>
      <c r="I206" s="599"/>
      <c r="J206" s="599"/>
      <c r="K206" s="599"/>
      <c r="L206" s="599"/>
      <c r="M206" s="598">
        <v>37.378798</v>
      </c>
      <c r="N206" s="599"/>
      <c r="O206" s="599"/>
      <c r="P206" s="599"/>
      <c r="Q206" s="599"/>
      <c r="R206" s="598">
        <v>112.034009</v>
      </c>
      <c r="S206" s="599"/>
      <c r="T206" s="599"/>
      <c r="U206" s="599"/>
      <c r="V206" s="599"/>
      <c r="W206" s="598">
        <v>154.842</v>
      </c>
      <c r="X206" s="599"/>
      <c r="Y206" s="599"/>
      <c r="Z206" s="599"/>
      <c r="AA206" s="599"/>
      <c r="AB206" s="598">
        <v>233.108</v>
      </c>
      <c r="AC206" s="599"/>
      <c r="AD206" s="599"/>
      <c r="AE206" s="599"/>
      <c r="AF206" s="599"/>
      <c r="AG206" s="598">
        <v>390.389</v>
      </c>
      <c r="AH206" s="599">
        <v>451.813</v>
      </c>
      <c r="AI206" s="599">
        <v>495.389</v>
      </c>
      <c r="AJ206" s="599">
        <v>524.655</v>
      </c>
      <c r="AK206" s="599">
        <f>AL206</f>
        <v>601.376</v>
      </c>
      <c r="AL206" s="598">
        <v>601.376</v>
      </c>
      <c r="AM206" s="599">
        <v>668.266</v>
      </c>
      <c r="AN206" s="599">
        <v>720.729</v>
      </c>
      <c r="AO206" s="599">
        <v>767.821</v>
      </c>
      <c r="AP206" s="599">
        <f>AQ206</f>
        <v>887.299</v>
      </c>
      <c r="AQ206" s="598">
        <v>887.299</v>
      </c>
      <c r="AR206" s="599">
        <v>930.06</v>
      </c>
      <c r="AS206" s="599">
        <v>979.288</v>
      </c>
      <c r="AT206" s="599">
        <v>1042.76</v>
      </c>
      <c r="AU206" s="599">
        <f>AV206</f>
        <v>1096.682</v>
      </c>
      <c r="AV206" s="598">
        <v>1096.682</v>
      </c>
      <c r="AW206" s="599">
        <v>1128.381</v>
      </c>
      <c r="AX206" s="599">
        <v>1126.667</v>
      </c>
      <c r="AY206" s="599">
        <v>1085.261</v>
      </c>
      <c r="AZ206" s="599">
        <f>BA206</f>
        <v>1089.568</v>
      </c>
      <c r="BA206" s="598">
        <v>1089.568</v>
      </c>
      <c r="BB206" s="599">
        <v>1145.011</v>
      </c>
      <c r="BC206" s="599">
        <v>1095.468</v>
      </c>
      <c r="BD206" s="599">
        <v>1059.959</v>
      </c>
      <c r="BE206" s="599">
        <f>BF206</f>
        <v>1027.482</v>
      </c>
      <c r="BF206" s="598">
        <v>1027.482</v>
      </c>
      <c r="BG206" s="599">
        <v>1136.225</v>
      </c>
      <c r="BH206" s="599">
        <v>1156.202</v>
      </c>
      <c r="BI206" s="599">
        <v>1204.469</v>
      </c>
      <c r="BJ206" s="599">
        <f>BK206</f>
        <v>1359.973</v>
      </c>
      <c r="BK206" s="598">
        <v>1359.973</v>
      </c>
      <c r="BL206" s="599">
        <v>1347.687</v>
      </c>
      <c r="BM206" s="599">
        <v>1397.809</v>
      </c>
      <c r="BN206" s="599">
        <v>1421.276</v>
      </c>
      <c r="BO206" s="599">
        <v>1596.96</v>
      </c>
      <c r="BP206" s="598">
        <f>BO206</f>
        <v>1596.96</v>
      </c>
      <c r="BQ206" s="599">
        <v>1636.234</v>
      </c>
      <c r="BR206" s="629">
        <v>1320.215</v>
      </c>
      <c r="BS206" s="629">
        <v>1406.757</v>
      </c>
      <c r="BT206" s="629">
        <v>1445.975</v>
      </c>
      <c r="BU206" s="598">
        <f>BT206</f>
        <v>1445.975</v>
      </c>
      <c r="BV206" s="599">
        <v>1366.72</v>
      </c>
      <c r="BW206" s="599">
        <v>1507.379</v>
      </c>
      <c r="BX206" s="599">
        <v>1648.736</v>
      </c>
      <c r="BY206" s="599">
        <v>1952.218</v>
      </c>
      <c r="BZ206" s="598">
        <f>BY206</f>
        <v>1952.218</v>
      </c>
      <c r="CA206" s="629">
        <v>1835.787</v>
      </c>
      <c r="CB206" s="629">
        <v>2001.102</v>
      </c>
      <c r="CC206" s="629">
        <v>2162.953</v>
      </c>
      <c r="CD206" s="599">
        <v>2558.566</v>
      </c>
      <c r="CE206" s="598">
        <f t="shared" si="498"/>
        <v>2558.566</v>
      </c>
      <c r="CF206" s="599">
        <v>2639.855</v>
      </c>
      <c r="CG206" s="599">
        <v>2671.166</v>
      </c>
      <c r="CH206" s="599">
        <f>2658.455</f>
        <v>2658.455</v>
      </c>
      <c r="CI206" s="599">
        <v>2740.046</v>
      </c>
      <c r="CJ206" s="598">
        <f t="shared" si="499"/>
        <v>2740.046</v>
      </c>
      <c r="CK206" s="629">
        <v>2668.05</v>
      </c>
      <c r="CL206" s="599">
        <v>2857.798</v>
      </c>
      <c r="CM206" s="599">
        <v>3039.204</v>
      </c>
      <c r="CN206" s="599">
        <v>3148.799</v>
      </c>
      <c r="CO206" s="598">
        <f t="shared" si="500"/>
        <v>3148.799</v>
      </c>
      <c r="CP206" s="599">
        <v>3320.076</v>
      </c>
      <c r="CQ206" s="599">
        <v>3533.482</v>
      </c>
      <c r="CR206" s="599">
        <v>3525.849</v>
      </c>
      <c r="CS206" s="599">
        <v>4232.081</v>
      </c>
      <c r="CT206" s="598">
        <f t="shared" si="501"/>
        <v>4232.081</v>
      </c>
      <c r="CU206" s="599">
        <v>4219.808</v>
      </c>
      <c r="CV206" s="599">
        <v>4031.645</v>
      </c>
      <c r="CW206" s="599">
        <v>3985.732</v>
      </c>
      <c r="CX206" s="629">
        <v>4324.047</v>
      </c>
      <c r="CY206" s="598">
        <f t="shared" si="502"/>
        <v>4324.047</v>
      </c>
      <c r="CZ206" s="629">
        <v>4289.57</v>
      </c>
      <c r="DA206" s="599">
        <v>4387.279</v>
      </c>
      <c r="DB206" s="599">
        <v>4502.023</v>
      </c>
      <c r="DC206" s="599">
        <v>4961.84</v>
      </c>
      <c r="DD206" s="598">
        <f t="shared" si="502"/>
        <v>4961.84</v>
      </c>
      <c r="DE206" s="629">
        <v>4825.601</v>
      </c>
      <c r="DF206" s="629">
        <v>4791.174</v>
      </c>
      <c r="DG206" s="599">
        <f>DF206+DG89+DG91+DG107+DG112+DG113+DG114+DG115+DG118</f>
        <v>4630.80648315094</v>
      </c>
      <c r="DH206" s="599">
        <f>DG206+DH89+DH91+DH107+DH112+DH113+DH114+DH115+DH118</f>
        <v>4808.75081990519</v>
      </c>
      <c r="DI206" s="598">
        <f t="shared" si="504"/>
        <v>4808.75081990519</v>
      </c>
      <c r="DJ206" s="599">
        <f>DI206+DJ89+DJ91+DJ107+DJ112+DJ113+DJ114+DJ115+DJ118</f>
        <v>4834.58231185498</v>
      </c>
      <c r="DK206" s="599">
        <f>DJ206+DK89+DK91+DK107+DK112+DK113+DK114+DK115+DK118</f>
        <v>4892.28052873589</v>
      </c>
      <c r="DL206" s="599">
        <f>DK206+DL89+DL91+DL107+DL112+DL113+DL114+DL115+DL118</f>
        <v>4842.23395609523</v>
      </c>
      <c r="DM206" s="599">
        <f>DL206+DM89+DM91+DM107+DM112+DM113+DM114+DM115+DM118</f>
        <v>5117.28406578443</v>
      </c>
      <c r="DN206" s="598">
        <f t="shared" si="509"/>
        <v>5117.28406578443</v>
      </c>
      <c r="DO206" s="599">
        <f>DN206+DO89+DO91+DO107+DO112+DO113+DO114+DO115+DO118</f>
        <v>5135.9182505708</v>
      </c>
      <c r="DP206" s="599">
        <f>DO206+DP89+DP91+DP107+DP112+DP113+DP114+DP115+DP118</f>
        <v>5186.66779794528</v>
      </c>
      <c r="DQ206" s="599">
        <f>DP206+DQ89+DQ91+DQ107+DQ112+DQ113+DQ114+DQ115+DQ118</f>
        <v>5128.94924315898</v>
      </c>
      <c r="DR206" s="599">
        <f>DQ206+DR89+DR91+DR107+DR112+DR113+DR114+DR115+DR118</f>
        <v>5393.68174943752</v>
      </c>
      <c r="DS206" s="598">
        <f t="shared" si="514"/>
        <v>5393.68174943752</v>
      </c>
    </row>
    <row r="207" spans="1:123">
      <c r="B207" s="198" t="s">
        <v>150</v>
      </c>
      <c r="C207" s="124"/>
      <c r="H207" s="124"/>
      <c r="M207" s="124">
        <v>0.567699</v>
      </c>
      <c r="R207" s="124">
        <v>0.318824</v>
      </c>
      <c r="W207" s="124">
        <v>0</v>
      </c>
      <c r="AB207" s="124">
        <v>0</v>
      </c>
      <c r="AG207" s="124">
        <v>3.904</v>
      </c>
      <c r="AH207" s="125">
        <v>4.048</v>
      </c>
      <c r="AI207" s="125">
        <v>4.288</v>
      </c>
      <c r="AJ207" s="125">
        <v>4.435</v>
      </c>
      <c r="AK207" s="125">
        <f>AL207</f>
        <v>4.805</v>
      </c>
      <c r="AL207" s="124">
        <v>4.805</v>
      </c>
      <c r="AM207" s="125">
        <v>5.136</v>
      </c>
      <c r="AN207" s="125">
        <v>5.616</v>
      </c>
      <c r="AO207" s="125">
        <v>0</v>
      </c>
      <c r="AP207" s="125">
        <f>AQ207</f>
        <v>0</v>
      </c>
      <c r="AQ207" s="124">
        <v>0</v>
      </c>
      <c r="AR207" s="125">
        <v>0</v>
      </c>
      <c r="AS207" s="125">
        <v>0</v>
      </c>
      <c r="AT207" s="125">
        <v>0</v>
      </c>
      <c r="AU207" s="125">
        <f>AV207</f>
        <v>0</v>
      </c>
      <c r="AV207" s="124">
        <f>AQ207</f>
        <v>0</v>
      </c>
      <c r="AW207" s="125">
        <v>0</v>
      </c>
      <c r="AX207" s="125">
        <v>0</v>
      </c>
      <c r="AY207" s="125">
        <v>0</v>
      </c>
      <c r="AZ207" s="125">
        <f>BA207</f>
        <v>0</v>
      </c>
      <c r="BA207" s="124">
        <f>AV207</f>
        <v>0</v>
      </c>
      <c r="BB207" s="125">
        <v>0</v>
      </c>
      <c r="BC207" s="125">
        <v>0</v>
      </c>
      <c r="BD207" s="125">
        <v>0</v>
      </c>
      <c r="BE207" s="125">
        <f>BF207</f>
        <v>0</v>
      </c>
      <c r="BF207" s="124">
        <f>BA207</f>
        <v>0</v>
      </c>
      <c r="BG207" s="125">
        <v>0</v>
      </c>
      <c r="BH207" s="125">
        <v>0</v>
      </c>
      <c r="BI207" s="125">
        <v>0</v>
      </c>
      <c r="BJ207" s="125">
        <f>BK207</f>
        <v>0</v>
      </c>
      <c r="BK207" s="124">
        <f>BF207</f>
        <v>0</v>
      </c>
      <c r="BL207" s="125">
        <v>0</v>
      </c>
      <c r="BM207" s="125">
        <v>0</v>
      </c>
      <c r="BN207" s="125">
        <v>0</v>
      </c>
      <c r="BO207" s="172">
        <v>0</v>
      </c>
      <c r="BP207" s="173">
        <f>BO207</f>
        <v>0</v>
      </c>
      <c r="BQ207" s="125">
        <v>0</v>
      </c>
      <c r="BR207" s="172">
        <v>0</v>
      </c>
      <c r="BS207" s="172">
        <v>0</v>
      </c>
      <c r="BT207" s="172">
        <v>0</v>
      </c>
      <c r="BU207" s="173">
        <f>BT207</f>
        <v>0</v>
      </c>
      <c r="BV207" s="172">
        <v>0</v>
      </c>
      <c r="BW207" s="172">
        <v>0</v>
      </c>
      <c r="BX207" s="172">
        <v>0</v>
      </c>
      <c r="BY207" s="172">
        <v>0</v>
      </c>
      <c r="BZ207" s="173">
        <f>BY207</f>
        <v>0</v>
      </c>
      <c r="CA207" s="172">
        <v>0</v>
      </c>
      <c r="CB207" s="172">
        <v>0</v>
      </c>
      <c r="CC207" s="172">
        <v>0</v>
      </c>
      <c r="CD207" s="172">
        <v>0</v>
      </c>
      <c r="CE207" s="173">
        <f t="shared" si="498"/>
        <v>0</v>
      </c>
      <c r="CF207" s="172">
        <v>0</v>
      </c>
      <c r="CG207" s="172">
        <v>0</v>
      </c>
      <c r="CH207" s="172">
        <v>0</v>
      </c>
      <c r="CI207" s="172">
        <v>0</v>
      </c>
      <c r="CJ207" s="173">
        <f t="shared" si="499"/>
        <v>0</v>
      </c>
      <c r="CK207" s="172">
        <v>0</v>
      </c>
      <c r="CL207" s="172">
        <v>0</v>
      </c>
      <c r="CM207" s="172">
        <v>0</v>
      </c>
      <c r="CN207" s="172">
        <v>0</v>
      </c>
      <c r="CO207" s="173">
        <f t="shared" si="500"/>
        <v>0</v>
      </c>
      <c r="CP207" s="172">
        <v>0</v>
      </c>
      <c r="CQ207" s="172">
        <v>0</v>
      </c>
      <c r="CR207" s="172">
        <v>0</v>
      </c>
      <c r="CS207" s="172">
        <v>0</v>
      </c>
      <c r="CT207" s="173">
        <f t="shared" si="501"/>
        <v>0</v>
      </c>
      <c r="CU207" s="172">
        <v>0</v>
      </c>
      <c r="CV207" s="172">
        <v>0</v>
      </c>
      <c r="CW207" s="172">
        <v>0</v>
      </c>
      <c r="CX207" s="172">
        <v>0</v>
      </c>
      <c r="CY207" s="173">
        <f t="shared" si="502"/>
        <v>0</v>
      </c>
      <c r="CZ207" s="172">
        <v>0</v>
      </c>
      <c r="DA207" s="172">
        <v>0</v>
      </c>
      <c r="DB207" s="172">
        <v>0</v>
      </c>
      <c r="DC207" s="172">
        <v>0</v>
      </c>
      <c r="DD207" s="173">
        <f t="shared" si="502"/>
        <v>0</v>
      </c>
      <c r="DE207" s="172">
        <f>DD207</f>
        <v>0</v>
      </c>
      <c r="DF207" s="172">
        <f>DE207</f>
        <v>0</v>
      </c>
      <c r="DG207" s="596">
        <f>DF207</f>
        <v>0</v>
      </c>
      <c r="DH207" s="596">
        <f>DG207</f>
        <v>0</v>
      </c>
      <c r="DI207" s="173">
        <f t="shared" si="504"/>
        <v>0</v>
      </c>
      <c r="DJ207" s="596">
        <f>DI207</f>
        <v>0</v>
      </c>
      <c r="DK207" s="596">
        <f>DJ207</f>
        <v>0</v>
      </c>
      <c r="DL207" s="596">
        <f>DK207</f>
        <v>0</v>
      </c>
      <c r="DM207" s="596">
        <f>DL207</f>
        <v>0</v>
      </c>
      <c r="DN207" s="173">
        <f t="shared" si="509"/>
        <v>0</v>
      </c>
      <c r="DO207" s="596">
        <f>DN207</f>
        <v>0</v>
      </c>
      <c r="DP207" s="596">
        <f>DO207</f>
        <v>0</v>
      </c>
      <c r="DQ207" s="596">
        <f>DP207</f>
        <v>0</v>
      </c>
      <c r="DR207" s="596">
        <f>DQ207</f>
        <v>0</v>
      </c>
      <c r="DS207" s="173">
        <f t="shared" si="514"/>
        <v>0</v>
      </c>
    </row>
    <row r="208" spans="1:123">
      <c r="B208" s="198"/>
      <c r="C208" s="124"/>
      <c r="H208" s="124"/>
      <c r="M208" s="124"/>
      <c r="R208" s="124"/>
      <c r="W208" s="124"/>
      <c r="AB208" s="124"/>
      <c r="AG208" s="124"/>
      <c r="AL208" s="124"/>
      <c r="AQ208" s="124"/>
      <c r="AV208" s="124"/>
      <c r="BA208" s="124"/>
      <c r="BF208" s="124"/>
      <c r="BK208" s="124"/>
      <c r="BP208" s="124"/>
      <c r="BU208" s="124"/>
      <c r="BZ208" s="124"/>
      <c r="CE208" s="124"/>
      <c r="CJ208" s="124"/>
      <c r="CO208" s="124"/>
      <c r="CT208" s="124"/>
      <c r="CX208" s="172"/>
      <c r="CY208" s="124"/>
      <c r="DD208" s="124"/>
      <c r="DI208" s="124"/>
      <c r="DN208" s="124"/>
      <c r="DS208" s="124"/>
    </row>
    <row r="209" spans="1:123">
      <c r="A209" s="132"/>
      <c r="B209" s="597" t="s">
        <v>151</v>
      </c>
      <c r="C209" s="598"/>
      <c r="D209" s="599"/>
      <c r="E209" s="599"/>
      <c r="F209" s="599"/>
      <c r="G209" s="599"/>
      <c r="H209" s="598"/>
      <c r="I209" s="599"/>
      <c r="J209" s="599"/>
      <c r="K209" s="599"/>
      <c r="L209" s="599"/>
      <c r="M209" s="598">
        <f>SUM(M201,M205,M206,M207)</f>
        <v>72.293109</v>
      </c>
      <c r="N209" s="599"/>
      <c r="O209" s="599"/>
      <c r="P209" s="599"/>
      <c r="Q209" s="599"/>
      <c r="R209" s="598">
        <f>SUM(R201,R205,R206,R207)</f>
        <v>155.092142</v>
      </c>
      <c r="S209" s="599"/>
      <c r="T209" s="599"/>
      <c r="U209" s="599"/>
      <c r="V209" s="599"/>
      <c r="W209" s="598">
        <f>SUM(W201,W205,W206,W207)</f>
        <v>211.636</v>
      </c>
      <c r="X209" s="599"/>
      <c r="Y209" s="599"/>
      <c r="Z209" s="599"/>
      <c r="AA209" s="599"/>
      <c r="AB209" s="598">
        <f>SUM(AB201,AB205,AB206,AB207)</f>
        <v>307.258</v>
      </c>
      <c r="AC209" s="599"/>
      <c r="AD209" s="599"/>
      <c r="AE209" s="599"/>
      <c r="AF209" s="599"/>
      <c r="AG209" s="598">
        <f t="shared" ref="AG209:BM209" si="515">SUM(AG201:AG207)</f>
        <v>499.302</v>
      </c>
      <c r="AH209" s="599">
        <f t="shared" si="515"/>
        <v>536.46</v>
      </c>
      <c r="AI209" s="599">
        <f t="shared" si="515"/>
        <v>586.461</v>
      </c>
      <c r="AJ209" s="599">
        <f t="shared" si="515"/>
        <v>636.07</v>
      </c>
      <c r="AK209" s="599">
        <f t="shared" si="515"/>
        <v>734.634</v>
      </c>
      <c r="AL209" s="598">
        <f t="shared" si="515"/>
        <v>734.634</v>
      </c>
      <c r="AM209" s="599">
        <f t="shared" si="515"/>
        <v>770.619</v>
      </c>
      <c r="AN209" s="599">
        <f t="shared" si="515"/>
        <v>829.138</v>
      </c>
      <c r="AO209" s="599">
        <f t="shared" si="515"/>
        <v>888.781</v>
      </c>
      <c r="AP209" s="599">
        <f t="shared" si="515"/>
        <v>1051.078</v>
      </c>
      <c r="AQ209" s="598">
        <f t="shared" si="515"/>
        <v>1051.078</v>
      </c>
      <c r="AR209" s="599">
        <f t="shared" si="515"/>
        <v>1053.476</v>
      </c>
      <c r="AS209" s="599">
        <f t="shared" si="515"/>
        <v>1114.122</v>
      </c>
      <c r="AT209" s="599">
        <f t="shared" si="515"/>
        <v>1174.554</v>
      </c>
      <c r="AU209" s="599">
        <f t="shared" si="515"/>
        <v>1249.688</v>
      </c>
      <c r="AV209" s="598">
        <f t="shared" si="515"/>
        <v>1249.688</v>
      </c>
      <c r="AW209" s="599">
        <f t="shared" si="515"/>
        <v>1290.957</v>
      </c>
      <c r="AX209" s="599">
        <f t="shared" si="515"/>
        <v>1297.92</v>
      </c>
      <c r="AY209" s="599">
        <f t="shared" si="515"/>
        <v>1284.487</v>
      </c>
      <c r="AZ209" s="599">
        <f t="shared" si="515"/>
        <v>1296.213</v>
      </c>
      <c r="BA209" s="598">
        <f t="shared" si="515"/>
        <v>1296.213</v>
      </c>
      <c r="BB209" s="599">
        <f t="shared" si="515"/>
        <v>1337.716</v>
      </c>
      <c r="BC209" s="599">
        <f t="shared" si="515"/>
        <v>1294.221</v>
      </c>
      <c r="BD209" s="599">
        <f t="shared" si="515"/>
        <v>1321.559</v>
      </c>
      <c r="BE209" s="599">
        <f t="shared" si="515"/>
        <v>1314.077</v>
      </c>
      <c r="BF209" s="598">
        <f t="shared" si="515"/>
        <v>1314.077</v>
      </c>
      <c r="BG209" s="599">
        <f t="shared" si="515"/>
        <v>1401.655</v>
      </c>
      <c r="BH209" s="599">
        <f t="shared" si="515"/>
        <v>1415.501</v>
      </c>
      <c r="BI209" s="599">
        <f t="shared" si="515"/>
        <v>1478.94</v>
      </c>
      <c r="BJ209" s="599">
        <f t="shared" si="515"/>
        <v>1657.541</v>
      </c>
      <c r="BK209" s="598">
        <f t="shared" si="515"/>
        <v>1657.541</v>
      </c>
      <c r="BL209" s="599">
        <f t="shared" si="515"/>
        <v>1609.334</v>
      </c>
      <c r="BM209" s="599">
        <f t="shared" si="515"/>
        <v>1686.923</v>
      </c>
      <c r="BN209" s="599">
        <f t="shared" ref="BN209:CO209" si="516">SUM(BN201:BN207)</f>
        <v>1720.449</v>
      </c>
      <c r="BO209" s="599">
        <f t="shared" si="516"/>
        <v>1998.483</v>
      </c>
      <c r="BP209" s="598">
        <f t="shared" si="516"/>
        <v>1998.483</v>
      </c>
      <c r="BQ209" s="599">
        <f t="shared" si="516"/>
        <v>2011.705</v>
      </c>
      <c r="BR209" s="599">
        <f t="shared" si="516"/>
        <v>1881.157</v>
      </c>
      <c r="BS209" s="599">
        <f t="shared" si="516"/>
        <v>1981.011</v>
      </c>
      <c r="BT209" s="599">
        <f t="shared" si="516"/>
        <v>2084.711</v>
      </c>
      <c r="BU209" s="598">
        <f t="shared" si="516"/>
        <v>2084.711</v>
      </c>
      <c r="BV209" s="599">
        <f t="shared" si="516"/>
        <v>2463.02</v>
      </c>
      <c r="BW209" s="599">
        <f t="shared" si="516"/>
        <v>2694.744</v>
      </c>
      <c r="BX209" s="599">
        <f t="shared" si="516"/>
        <v>2855.144</v>
      </c>
      <c r="BY209" s="599">
        <f t="shared" si="516"/>
        <v>3281.354</v>
      </c>
      <c r="BZ209" s="598">
        <f t="shared" si="516"/>
        <v>3281.354</v>
      </c>
      <c r="CA209" s="599">
        <f t="shared" si="516"/>
        <v>3201.786</v>
      </c>
      <c r="CB209" s="599">
        <f t="shared" si="516"/>
        <v>3494.027</v>
      </c>
      <c r="CC209" s="599">
        <f t="shared" si="516"/>
        <v>3627.92</v>
      </c>
      <c r="CD209" s="599">
        <f t="shared" si="516"/>
        <v>4185.215</v>
      </c>
      <c r="CE209" s="598">
        <f t="shared" si="516"/>
        <v>4185.215</v>
      </c>
      <c r="CF209" s="599">
        <f t="shared" si="516"/>
        <v>4329.831</v>
      </c>
      <c r="CG209" s="599">
        <f t="shared" si="516"/>
        <v>4405.098</v>
      </c>
      <c r="CH209" s="599">
        <f t="shared" si="516"/>
        <v>4572.007</v>
      </c>
      <c r="CI209" s="599">
        <f t="shared" si="516"/>
        <v>4942.478</v>
      </c>
      <c r="CJ209" s="599">
        <f t="shared" si="516"/>
        <v>4942.478</v>
      </c>
      <c r="CK209" s="599">
        <f t="shared" si="516"/>
        <v>4697.212</v>
      </c>
      <c r="CL209" s="599">
        <f t="shared" si="516"/>
        <v>4920.711</v>
      </c>
      <c r="CM209" s="599">
        <f t="shared" si="516"/>
        <v>5309.436</v>
      </c>
      <c r="CN209" s="599">
        <f t="shared" si="516"/>
        <v>5607.038</v>
      </c>
      <c r="CO209" s="598">
        <f t="shared" si="516"/>
        <v>5607.038</v>
      </c>
      <c r="CP209" s="599">
        <f t="shared" ref="CP209:DI209" si="517">SUM(CP201:CP207)</f>
        <v>5571.544</v>
      </c>
      <c r="CQ209" s="599">
        <f t="shared" si="517"/>
        <v>5992.458</v>
      </c>
      <c r="CR209" s="599">
        <f t="shared" si="517"/>
        <v>6022.264</v>
      </c>
      <c r="CS209" s="599">
        <f t="shared" si="517"/>
        <v>7091.941</v>
      </c>
      <c r="CT209" s="598">
        <f t="shared" si="517"/>
        <v>7091.941</v>
      </c>
      <c r="CU209" s="599">
        <f t="shared" si="517"/>
        <v>6828.495</v>
      </c>
      <c r="CV209" s="599">
        <f t="shared" si="517"/>
        <v>6744.135</v>
      </c>
      <c r="CW209" s="599">
        <f t="shared" si="517"/>
        <v>7083.669</v>
      </c>
      <c r="CX209" s="629">
        <f t="shared" ref="CX209" si="518">SUM(CX201:CX207)</f>
        <v>7603.292</v>
      </c>
      <c r="CY209" s="598">
        <f t="shared" si="517"/>
        <v>7603.292</v>
      </c>
      <c r="CZ209" s="599">
        <f t="shared" si="517"/>
        <v>7430.543</v>
      </c>
      <c r="DA209" s="599">
        <f t="shared" si="517"/>
        <v>7523.439</v>
      </c>
      <c r="DB209" s="599">
        <f t="shared" si="517"/>
        <v>7955.192</v>
      </c>
      <c r="DC209" s="599">
        <f t="shared" si="517"/>
        <v>8456.743</v>
      </c>
      <c r="DD209" s="598">
        <f t="shared" ref="DD209" si="519">SUM(DD201:DD207)</f>
        <v>8456.743</v>
      </c>
      <c r="DE209" s="599">
        <f t="shared" si="517"/>
        <v>8531.441</v>
      </c>
      <c r="DF209" s="599">
        <f t="shared" si="517"/>
        <v>8484.578</v>
      </c>
      <c r="DG209" s="599">
        <f t="shared" si="517"/>
        <v>8317.00710430577</v>
      </c>
      <c r="DH209" s="599">
        <f t="shared" si="517"/>
        <v>8496.1720511085</v>
      </c>
      <c r="DI209" s="598">
        <f t="shared" si="517"/>
        <v>8496.1720511085</v>
      </c>
      <c r="DJ209" s="599">
        <f t="shared" ref="DJ209:DN209" si="520">SUM(DJ201:DJ207)</f>
        <v>8449.95359554346</v>
      </c>
      <c r="DK209" s="599">
        <f t="shared" si="520"/>
        <v>8551.27822892593</v>
      </c>
      <c r="DL209" s="599">
        <f t="shared" si="520"/>
        <v>8504.18336885092</v>
      </c>
      <c r="DM209" s="599">
        <f t="shared" si="520"/>
        <v>8798.51756540624</v>
      </c>
      <c r="DN209" s="598">
        <f t="shared" si="520"/>
        <v>8798.51756540624</v>
      </c>
      <c r="DO209" s="599">
        <f t="shared" ref="DO209:DS209" si="521">SUM(DO201:DO207)</f>
        <v>8753.63320834444</v>
      </c>
      <c r="DP209" s="599">
        <f t="shared" si="521"/>
        <v>8846.82563672903</v>
      </c>
      <c r="DQ209" s="599">
        <f t="shared" si="521"/>
        <v>8794.8034720183</v>
      </c>
      <c r="DR209" s="599">
        <f t="shared" si="521"/>
        <v>9082.47062818422</v>
      </c>
      <c r="DS209" s="598">
        <f t="shared" si="521"/>
        <v>9082.47062818422</v>
      </c>
    </row>
    <row r="210" s="86" customFormat="1" hidden="1" outlineLevel="1" spans="1:123">
      <c r="A210" s="169"/>
      <c r="B210" s="551" t="s">
        <v>124</v>
      </c>
      <c r="C210" s="170"/>
      <c r="D210" s="169"/>
      <c r="E210" s="169"/>
      <c r="F210" s="169"/>
      <c r="G210" s="169"/>
      <c r="H210" s="170"/>
      <c r="I210" s="169"/>
      <c r="J210" s="169"/>
      <c r="K210" s="169"/>
      <c r="L210" s="169"/>
      <c r="M210" s="632"/>
      <c r="N210" s="552"/>
      <c r="O210" s="552"/>
      <c r="P210" s="552"/>
      <c r="Q210" s="552"/>
      <c r="R210" s="632"/>
      <c r="S210" s="552"/>
      <c r="T210" s="552"/>
      <c r="U210" s="552"/>
      <c r="V210" s="552"/>
      <c r="W210" s="632"/>
      <c r="X210" s="552"/>
      <c r="Y210" s="552"/>
      <c r="Z210" s="552"/>
      <c r="AA210" s="552"/>
      <c r="AB210" s="632"/>
      <c r="AC210" s="552"/>
      <c r="AD210" s="552"/>
      <c r="AE210" s="552"/>
      <c r="AF210" s="552"/>
      <c r="AG210" s="632"/>
      <c r="AH210" s="552"/>
      <c r="AI210" s="552"/>
      <c r="AJ210" s="552"/>
      <c r="AK210" s="552"/>
      <c r="AL210" s="632"/>
      <c r="AM210" s="552"/>
      <c r="AN210" s="552">
        <f t="shared" ref="AN210:BP210" si="522">AN193-AN209</f>
        <v>0</v>
      </c>
      <c r="AO210" s="552">
        <f t="shared" si="522"/>
        <v>0</v>
      </c>
      <c r="AP210" s="552">
        <f t="shared" si="522"/>
        <v>0</v>
      </c>
      <c r="AQ210" s="632">
        <f t="shared" si="522"/>
        <v>0</v>
      </c>
      <c r="AR210" s="552">
        <f t="shared" si="522"/>
        <v>0</v>
      </c>
      <c r="AS210" s="552">
        <f t="shared" si="522"/>
        <v>0</v>
      </c>
      <c r="AT210" s="552">
        <f t="shared" si="522"/>
        <v>0</v>
      </c>
      <c r="AU210" s="552">
        <f t="shared" si="522"/>
        <v>0</v>
      </c>
      <c r="AV210" s="632">
        <f t="shared" si="522"/>
        <v>0</v>
      </c>
      <c r="AW210" s="552">
        <f t="shared" si="522"/>
        <v>0</v>
      </c>
      <c r="AX210" s="552">
        <f t="shared" si="522"/>
        <v>0</v>
      </c>
      <c r="AY210" s="552">
        <f t="shared" si="522"/>
        <v>0</v>
      </c>
      <c r="AZ210" s="552">
        <f t="shared" si="522"/>
        <v>0</v>
      </c>
      <c r="BA210" s="632">
        <f t="shared" si="522"/>
        <v>0</v>
      </c>
      <c r="BB210" s="552">
        <f t="shared" si="522"/>
        <v>0</v>
      </c>
      <c r="BC210" s="552">
        <f t="shared" si="522"/>
        <v>0</v>
      </c>
      <c r="BD210" s="552">
        <f t="shared" si="522"/>
        <v>0</v>
      </c>
      <c r="BE210" s="552">
        <f t="shared" si="522"/>
        <v>0</v>
      </c>
      <c r="BF210" s="632">
        <f t="shared" si="522"/>
        <v>0</v>
      </c>
      <c r="BG210" s="552">
        <f t="shared" si="522"/>
        <v>0</v>
      </c>
      <c r="BH210" s="552">
        <f t="shared" si="522"/>
        <v>0</v>
      </c>
      <c r="BI210" s="552">
        <f t="shared" si="522"/>
        <v>0</v>
      </c>
      <c r="BJ210" s="552">
        <f t="shared" si="522"/>
        <v>0</v>
      </c>
      <c r="BK210" s="632">
        <f t="shared" si="522"/>
        <v>0</v>
      </c>
      <c r="BL210" s="552">
        <f t="shared" si="522"/>
        <v>0</v>
      </c>
      <c r="BM210" s="552">
        <f t="shared" si="522"/>
        <v>0</v>
      </c>
      <c r="BN210" s="552">
        <f t="shared" si="522"/>
        <v>0</v>
      </c>
      <c r="BO210" s="552">
        <f t="shared" si="522"/>
        <v>0</v>
      </c>
      <c r="BP210" s="632">
        <f t="shared" si="522"/>
        <v>0</v>
      </c>
      <c r="BQ210" s="552">
        <f t="shared" ref="BQ210:CF210" si="523">BQ193-BQ209</f>
        <v>0</v>
      </c>
      <c r="BR210" s="552">
        <f t="shared" si="523"/>
        <v>0</v>
      </c>
      <c r="BS210" s="552">
        <f t="shared" si="523"/>
        <v>0</v>
      </c>
      <c r="BT210" s="552">
        <f t="shared" si="523"/>
        <v>0</v>
      </c>
      <c r="BU210" s="632">
        <f t="shared" si="523"/>
        <v>0</v>
      </c>
      <c r="BV210" s="552">
        <f t="shared" si="523"/>
        <v>0</v>
      </c>
      <c r="BW210" s="552">
        <f t="shared" si="523"/>
        <v>0</v>
      </c>
      <c r="BX210" s="552">
        <f t="shared" si="523"/>
        <v>0</v>
      </c>
      <c r="BY210" s="552">
        <f t="shared" si="523"/>
        <v>0</v>
      </c>
      <c r="BZ210" s="632">
        <f t="shared" si="523"/>
        <v>0</v>
      </c>
      <c r="CA210" s="552">
        <f t="shared" si="523"/>
        <v>0</v>
      </c>
      <c r="CB210" s="552">
        <f t="shared" si="523"/>
        <v>0</v>
      </c>
      <c r="CC210" s="552">
        <f t="shared" si="523"/>
        <v>0</v>
      </c>
      <c r="CD210" s="552">
        <f t="shared" si="523"/>
        <v>0</v>
      </c>
      <c r="CE210" s="632">
        <f t="shared" si="523"/>
        <v>0</v>
      </c>
      <c r="CF210" s="552">
        <f t="shared" si="523"/>
        <v>0</v>
      </c>
      <c r="CG210" s="552">
        <f t="shared" ref="CG210:CT210" si="524">CG193-CG209</f>
        <v>0</v>
      </c>
      <c r="CH210" s="552">
        <f t="shared" si="524"/>
        <v>0</v>
      </c>
      <c r="CI210" s="552">
        <f t="shared" si="524"/>
        <v>0</v>
      </c>
      <c r="CJ210" s="632">
        <f t="shared" si="524"/>
        <v>0</v>
      </c>
      <c r="CK210" s="552">
        <f t="shared" si="524"/>
        <v>0</v>
      </c>
      <c r="CL210" s="552">
        <f t="shared" si="524"/>
        <v>0</v>
      </c>
      <c r="CM210" s="552">
        <f t="shared" si="524"/>
        <v>0</v>
      </c>
      <c r="CN210" s="552">
        <f t="shared" si="524"/>
        <v>0</v>
      </c>
      <c r="CO210" s="632">
        <f t="shared" si="524"/>
        <v>0</v>
      </c>
      <c r="CP210" s="552">
        <f t="shared" si="524"/>
        <v>0</v>
      </c>
      <c r="CQ210" s="552">
        <f t="shared" si="524"/>
        <v>0</v>
      </c>
      <c r="CR210" s="552">
        <f t="shared" si="524"/>
        <v>0</v>
      </c>
      <c r="CS210" s="552">
        <f t="shared" si="524"/>
        <v>0</v>
      </c>
      <c r="CT210" s="632">
        <f t="shared" si="524"/>
        <v>0</v>
      </c>
      <c r="CU210" s="552">
        <f t="shared" ref="CU210:DI210" si="525">CU193-CU209</f>
        <v>0</v>
      </c>
      <c r="CV210" s="552">
        <f t="shared" si="525"/>
        <v>0</v>
      </c>
      <c r="CW210" s="552">
        <f t="shared" si="525"/>
        <v>0</v>
      </c>
      <c r="CX210" s="552">
        <f t="shared" ref="CX210" si="526">CX193-CX209</f>
        <v>0</v>
      </c>
      <c r="CY210" s="632">
        <f t="shared" si="525"/>
        <v>0</v>
      </c>
      <c r="CZ210" s="552">
        <f t="shared" si="525"/>
        <v>0</v>
      </c>
      <c r="DA210" s="552">
        <f t="shared" si="525"/>
        <v>0</v>
      </c>
      <c r="DB210" s="552">
        <f t="shared" si="525"/>
        <v>0</v>
      </c>
      <c r="DC210" s="552">
        <f t="shared" si="525"/>
        <v>0</v>
      </c>
      <c r="DD210" s="632">
        <f t="shared" ref="DD210" si="527">DD193-DD209</f>
        <v>0</v>
      </c>
      <c r="DE210" s="552">
        <f t="shared" si="525"/>
        <v>0</v>
      </c>
      <c r="DF210" s="552">
        <f t="shared" si="525"/>
        <v>0</v>
      </c>
      <c r="DG210" s="552">
        <f t="shared" si="525"/>
        <v>0</v>
      </c>
      <c r="DH210" s="552">
        <f t="shared" si="525"/>
        <v>0</v>
      </c>
      <c r="DI210" s="632">
        <f t="shared" si="525"/>
        <v>0</v>
      </c>
      <c r="DJ210" s="552">
        <f t="shared" ref="DJ210:DN210" si="528">DJ193-DJ209</f>
        <v>0</v>
      </c>
      <c r="DK210" s="552">
        <f t="shared" si="528"/>
        <v>0</v>
      </c>
      <c r="DL210" s="552">
        <f t="shared" si="528"/>
        <v>0</v>
      </c>
      <c r="DM210" s="552">
        <f t="shared" si="528"/>
        <v>0</v>
      </c>
      <c r="DN210" s="632">
        <f t="shared" si="528"/>
        <v>0</v>
      </c>
      <c r="DO210" s="552">
        <f t="shared" ref="DO210:DS210" si="529">DO193-DO209</f>
        <v>0</v>
      </c>
      <c r="DP210" s="552">
        <f t="shared" si="529"/>
        <v>0</v>
      </c>
      <c r="DQ210" s="552">
        <f t="shared" si="529"/>
        <v>0</v>
      </c>
      <c r="DR210" s="552">
        <f t="shared" si="529"/>
        <v>0</v>
      </c>
      <c r="DS210" s="632">
        <f t="shared" si="529"/>
        <v>0</v>
      </c>
    </row>
    <row r="211" collapsed="1" spans="1:123">
      <c r="A211" s="132"/>
      <c r="B211" s="227"/>
      <c r="C211" s="131"/>
      <c r="D211" s="132"/>
      <c r="E211" s="132"/>
      <c r="F211" s="132"/>
      <c r="G211" s="132"/>
      <c r="H211" s="131"/>
      <c r="I211" s="132"/>
      <c r="J211" s="132"/>
      <c r="K211" s="132"/>
      <c r="L211" s="132"/>
      <c r="M211" s="131"/>
      <c r="N211" s="190"/>
      <c r="O211" s="190"/>
      <c r="P211" s="190"/>
      <c r="Q211" s="190"/>
      <c r="R211" s="131"/>
      <c r="S211" s="190"/>
      <c r="T211" s="190"/>
      <c r="U211" s="190"/>
      <c r="V211" s="190"/>
      <c r="W211" s="131"/>
      <c r="X211" s="190"/>
      <c r="Y211" s="190"/>
      <c r="Z211" s="190"/>
      <c r="AA211" s="190"/>
      <c r="AB211" s="131"/>
      <c r="AC211" s="190"/>
      <c r="AD211" s="190"/>
      <c r="AE211" s="190"/>
      <c r="AF211" s="190"/>
      <c r="AG211" s="131"/>
      <c r="AH211" s="132"/>
      <c r="AI211" s="132"/>
      <c r="AJ211" s="132"/>
      <c r="AK211" s="132"/>
      <c r="AL211" s="131"/>
      <c r="AM211" s="132"/>
      <c r="AN211" s="132"/>
      <c r="AO211" s="132"/>
      <c r="AP211" s="132"/>
      <c r="AQ211" s="131"/>
      <c r="AR211" s="132"/>
      <c r="AS211" s="132"/>
      <c r="AT211" s="132"/>
      <c r="AU211" s="132"/>
      <c r="AV211" s="131"/>
      <c r="AW211" s="132"/>
      <c r="AX211" s="132"/>
      <c r="AY211" s="132"/>
      <c r="AZ211" s="132"/>
      <c r="BA211" s="131"/>
      <c r="BB211" s="132"/>
      <c r="BC211" s="132"/>
      <c r="BD211" s="132"/>
      <c r="BE211" s="132"/>
      <c r="BF211" s="131"/>
      <c r="BG211" s="132"/>
      <c r="BH211" s="132"/>
      <c r="BI211" s="132"/>
      <c r="BJ211" s="132"/>
      <c r="BK211" s="131"/>
      <c r="BL211" s="132"/>
      <c r="BM211" s="132"/>
      <c r="BN211" s="132"/>
      <c r="BO211" s="132"/>
      <c r="BP211" s="131"/>
      <c r="BQ211" s="190"/>
      <c r="BR211" s="190"/>
      <c r="BS211" s="190"/>
      <c r="BT211" s="190"/>
      <c r="BU211" s="628"/>
      <c r="BV211" s="190"/>
      <c r="BW211" s="190"/>
      <c r="BX211" s="190"/>
      <c r="BY211" s="190"/>
      <c r="BZ211" s="628"/>
      <c r="CA211" s="190"/>
      <c r="CB211" s="190"/>
      <c r="CC211" s="190"/>
      <c r="CD211" s="190"/>
      <c r="CE211" s="628"/>
      <c r="CF211" s="190"/>
      <c r="CG211" s="190"/>
      <c r="CH211" s="190"/>
      <c r="CI211" s="190"/>
      <c r="CJ211" s="628"/>
      <c r="CK211" s="190"/>
      <c r="CL211" s="190"/>
      <c r="CM211" s="190"/>
      <c r="CN211" s="190"/>
      <c r="CO211" s="628"/>
      <c r="CP211" s="190"/>
      <c r="CQ211" s="190"/>
      <c r="CR211" s="190"/>
      <c r="CS211" s="190"/>
      <c r="CT211" s="628"/>
      <c r="CU211" s="190"/>
      <c r="CV211" s="190"/>
      <c r="CW211" s="190"/>
      <c r="CX211" s="190"/>
      <c r="CY211" s="628"/>
      <c r="CZ211" s="190"/>
      <c r="DA211" s="190"/>
      <c r="DB211" s="190"/>
      <c r="DC211" s="190"/>
      <c r="DD211" s="628"/>
      <c r="DE211" s="190"/>
      <c r="DF211" s="190"/>
      <c r="DG211" s="190"/>
      <c r="DH211" s="190"/>
      <c r="DI211" s="628"/>
      <c r="DJ211" s="190"/>
      <c r="DK211" s="190"/>
      <c r="DL211" s="190"/>
      <c r="DM211" s="190"/>
      <c r="DN211" s="628"/>
      <c r="DO211" s="190"/>
      <c r="DP211" s="190"/>
      <c r="DQ211" s="190"/>
      <c r="DR211" s="190"/>
      <c r="DS211" s="628"/>
    </row>
    <row r="212" spans="1:123">
      <c r="A212" s="132"/>
      <c r="B212" s="112" t="s">
        <v>152</v>
      </c>
      <c r="C212" s="589"/>
      <c r="D212" s="589"/>
      <c r="E212" s="589"/>
      <c r="F212" s="589"/>
      <c r="G212" s="589"/>
      <c r="H212" s="589"/>
      <c r="I212" s="589"/>
      <c r="J212" s="589"/>
      <c r="K212" s="589"/>
      <c r="L212" s="589"/>
      <c r="M212" s="589"/>
      <c r="N212" s="590"/>
      <c r="O212" s="590"/>
      <c r="P212" s="590"/>
      <c r="Q212" s="590"/>
      <c r="R212" s="589"/>
      <c r="S212" s="590"/>
      <c r="T212" s="590"/>
      <c r="U212" s="590"/>
      <c r="V212" s="590"/>
      <c r="W212" s="589"/>
      <c r="X212" s="590"/>
      <c r="Y212" s="590"/>
      <c r="Z212" s="590"/>
      <c r="AA212" s="590"/>
      <c r="AB212" s="589"/>
      <c r="AC212" s="590"/>
      <c r="AD212" s="590"/>
      <c r="AE212" s="590"/>
      <c r="AF212" s="590"/>
      <c r="AG212" s="589"/>
      <c r="AH212" s="589"/>
      <c r="AI212" s="589"/>
      <c r="AJ212" s="589"/>
      <c r="AK212" s="589"/>
      <c r="AL212" s="589"/>
      <c r="AM212" s="589"/>
      <c r="AN212" s="589"/>
      <c r="AO212" s="589"/>
      <c r="AP212" s="589"/>
      <c r="AQ212" s="589"/>
      <c r="AR212" s="589"/>
      <c r="AS212" s="589"/>
      <c r="AT212" s="589"/>
      <c r="AU212" s="589"/>
      <c r="AV212" s="589"/>
      <c r="AW212" s="589"/>
      <c r="AX212" s="589"/>
      <c r="AY212" s="589"/>
      <c r="AZ212" s="589"/>
      <c r="BA212" s="589"/>
      <c r="BB212" s="589"/>
      <c r="BC212" s="589"/>
      <c r="BD212" s="589"/>
      <c r="BE212" s="589"/>
      <c r="BF212" s="589"/>
      <c r="BG212" s="589"/>
      <c r="BH212" s="589"/>
      <c r="BI212" s="589"/>
      <c r="BJ212" s="589"/>
      <c r="BK212" s="589"/>
      <c r="BL212" s="589"/>
      <c r="BM212" s="589"/>
      <c r="BN212" s="589"/>
      <c r="BO212" s="589"/>
      <c r="BP212" s="589"/>
      <c r="BQ212" s="590"/>
      <c r="BR212" s="590"/>
      <c r="BS212" s="590"/>
      <c r="BT212" s="590"/>
      <c r="BU212" s="589"/>
      <c r="BV212" s="590"/>
      <c r="BW212" s="590"/>
      <c r="BX212" s="590"/>
      <c r="BY212" s="590"/>
      <c r="BZ212" s="589"/>
      <c r="CA212" s="590"/>
      <c r="CB212" s="590"/>
      <c r="CC212" s="590"/>
      <c r="CD212" s="590"/>
      <c r="CE212" s="589"/>
      <c r="CF212" s="590"/>
      <c r="CG212" s="590"/>
      <c r="CH212" s="590"/>
      <c r="CI212" s="590"/>
      <c r="CJ212" s="589"/>
      <c r="CK212" s="590"/>
      <c r="CL212" s="590"/>
      <c r="CM212" s="590"/>
      <c r="CN212" s="590"/>
      <c r="CO212" s="589"/>
      <c r="CP212" s="590"/>
      <c r="CQ212" s="590"/>
      <c r="CR212" s="590"/>
      <c r="CS212" s="590"/>
      <c r="CT212" s="589"/>
      <c r="CU212" s="590"/>
      <c r="CV212" s="590"/>
      <c r="CW212" s="590"/>
      <c r="CX212" s="590"/>
      <c r="CY212" s="589"/>
      <c r="CZ212" s="590"/>
      <c r="DA212" s="590"/>
      <c r="DB212" s="590"/>
      <c r="DC212" s="590"/>
      <c r="DD212" s="593"/>
      <c r="DE212" s="590"/>
      <c r="DF212" s="590"/>
      <c r="DG212" s="590"/>
      <c r="DH212" s="590"/>
      <c r="DI212" s="593"/>
      <c r="DJ212" s="590"/>
      <c r="DK212" s="590"/>
      <c r="DL212" s="590"/>
      <c r="DM212" s="590"/>
      <c r="DN212" s="589"/>
      <c r="DO212" s="590"/>
      <c r="DP212" s="590"/>
      <c r="DQ212" s="590"/>
      <c r="DR212" s="590"/>
      <c r="DS212" s="593"/>
    </row>
    <row r="213" spans="1:123">
      <c r="A213" s="132"/>
      <c r="B213" s="227"/>
      <c r="C213" s="131"/>
      <c r="D213" s="132"/>
      <c r="E213" s="132"/>
      <c r="F213" s="132"/>
      <c r="G213" s="132"/>
      <c r="H213" s="131"/>
      <c r="I213" s="132"/>
      <c r="J213" s="132"/>
      <c r="K213" s="132"/>
      <c r="L213" s="132"/>
      <c r="M213" s="131"/>
      <c r="N213" s="190"/>
      <c r="O213" s="190"/>
      <c r="P213" s="190"/>
      <c r="Q213" s="190"/>
      <c r="R213" s="131"/>
      <c r="S213" s="190"/>
      <c r="T213" s="190"/>
      <c r="U213" s="190"/>
      <c r="V213" s="190"/>
      <c r="W213" s="131"/>
      <c r="X213" s="190"/>
      <c r="Y213" s="190"/>
      <c r="Z213" s="190"/>
      <c r="AA213" s="190"/>
      <c r="AB213" s="131"/>
      <c r="AC213" s="190"/>
      <c r="AD213" s="190"/>
      <c r="AE213" s="190"/>
      <c r="AF213" s="190"/>
      <c r="AG213" s="131"/>
      <c r="AH213" s="132"/>
      <c r="AI213" s="132"/>
      <c r="AJ213" s="132"/>
      <c r="AK213" s="132"/>
      <c r="AL213" s="131"/>
      <c r="AM213" s="132"/>
      <c r="AN213" s="132"/>
      <c r="AO213" s="132"/>
      <c r="AP213" s="132"/>
      <c r="AQ213" s="131"/>
      <c r="AR213" s="132"/>
      <c r="AS213" s="132"/>
      <c r="AT213" s="132"/>
      <c r="AU213" s="132"/>
      <c r="AV213" s="131"/>
      <c r="AW213" s="132"/>
      <c r="AX213" s="132"/>
      <c r="AY213" s="132"/>
      <c r="AZ213" s="132"/>
      <c r="BA213" s="131"/>
      <c r="BB213" s="132"/>
      <c r="BC213" s="132"/>
      <c r="BD213" s="132"/>
      <c r="BE213" s="132"/>
      <c r="BF213" s="131"/>
      <c r="BG213" s="132"/>
      <c r="BH213" s="132"/>
      <c r="BI213" s="132"/>
      <c r="BJ213" s="132"/>
      <c r="BK213" s="131"/>
      <c r="BL213" s="132"/>
      <c r="BM213" s="132"/>
      <c r="BN213" s="132"/>
      <c r="BO213" s="132"/>
      <c r="BP213" s="131"/>
      <c r="BQ213" s="190"/>
      <c r="BR213" s="190"/>
      <c r="BS213" s="190"/>
      <c r="BT213" s="190"/>
      <c r="BU213" s="628"/>
      <c r="BV213" s="190"/>
      <c r="BW213" s="190"/>
      <c r="BX213" s="190"/>
      <c r="BY213" s="190"/>
      <c r="BZ213" s="628"/>
      <c r="CA213" s="190"/>
      <c r="CB213" s="190"/>
      <c r="CC213" s="190"/>
      <c r="CD213" s="190"/>
      <c r="CE213" s="628"/>
      <c r="CF213" s="190"/>
      <c r="CG213" s="190"/>
      <c r="CH213" s="190"/>
      <c r="CI213" s="190"/>
      <c r="CJ213" s="628"/>
      <c r="CK213" s="190"/>
      <c r="CL213" s="190"/>
      <c r="CM213" s="190"/>
      <c r="CN213" s="190"/>
      <c r="CO213" s="628"/>
      <c r="CP213" s="190"/>
      <c r="CQ213" s="190"/>
      <c r="CR213" s="190"/>
      <c r="CS213" s="190"/>
      <c r="CT213" s="628"/>
      <c r="CU213" s="190"/>
      <c r="CV213" s="190"/>
      <c r="CW213" s="190"/>
      <c r="CX213" s="190"/>
      <c r="CY213" s="628"/>
      <c r="CZ213" s="190"/>
      <c r="DA213" s="190"/>
      <c r="DB213" s="190"/>
      <c r="DC213" s="190"/>
      <c r="DD213" s="628"/>
      <c r="DE213" s="190"/>
      <c r="DF213" s="190"/>
      <c r="DG213" s="190"/>
      <c r="DH213" s="190"/>
      <c r="DI213" s="628"/>
      <c r="DJ213" s="190"/>
      <c r="DK213" s="190"/>
      <c r="DL213" s="190"/>
      <c r="DM213" s="190"/>
      <c r="DN213" s="628"/>
      <c r="DO213" s="190"/>
      <c r="DP213" s="190"/>
      <c r="DQ213" s="190"/>
      <c r="DR213" s="190"/>
      <c r="DS213" s="628"/>
    </row>
    <row r="214" spans="1:123">
      <c r="B214" s="633" t="s">
        <v>153</v>
      </c>
      <c r="C214" s="124"/>
      <c r="H214" s="124"/>
      <c r="M214" s="124">
        <f>M37</f>
        <v>148.884834</v>
      </c>
      <c r="R214" s="124">
        <f>R37</f>
        <v>274.713328</v>
      </c>
      <c r="W214" s="124">
        <f>W37</f>
        <v>354.619852</v>
      </c>
      <c r="AB214" s="124">
        <f>AB37</f>
        <v>452.898</v>
      </c>
      <c r="AG214" s="124">
        <f>AG37</f>
        <v>711.704</v>
      </c>
      <c r="AL214" s="124">
        <f>AL37</f>
        <v>1000.839</v>
      </c>
      <c r="AM214" s="125">
        <f>SUM(AM37,AI37,AJ37,AK37)</f>
        <v>1099.757</v>
      </c>
      <c r="AN214" s="125">
        <f>SUM(AN37,AJ37,AK37,AM37)</f>
        <v>1170.068</v>
      </c>
      <c r="AO214" s="125">
        <f>SUM(AO37,AK37,AM37,AN37)</f>
        <v>1256.389</v>
      </c>
      <c r="AP214" s="125">
        <f>SUM(AP37,AM37,AN37,AO37)</f>
        <v>1370.358</v>
      </c>
      <c r="AQ214" s="124">
        <f>AQ37</f>
        <v>1370.358</v>
      </c>
      <c r="AR214" s="125">
        <f>SUM(AR37,AN37,AO37,AP37)</f>
        <v>1430.442</v>
      </c>
      <c r="AS214" s="125">
        <f>SUM(AS37,AO37,AP37,AR37)</f>
        <v>1492.321</v>
      </c>
      <c r="AT214" s="125">
        <f>SUM(AT37,AP37,AR37,AS37)</f>
        <v>1555.684</v>
      </c>
      <c r="AU214" s="125">
        <f>SUM(AU37,AR37,AS37,AT37)</f>
        <v>1591.188</v>
      </c>
      <c r="AV214" s="124">
        <f>AV37</f>
        <v>1591.188</v>
      </c>
      <c r="AW214" s="125">
        <f>SUM(AW37,AS37,AT37,AU37)</f>
        <v>1630.024</v>
      </c>
      <c r="AX214" s="125">
        <f>SUM(AX37,AT37,AU37,AW37)</f>
        <v>1676.238</v>
      </c>
      <c r="AY214" s="125">
        <f>SUM(AY37,AU37,AW37,AX37)</f>
        <v>1715.734</v>
      </c>
      <c r="AZ214" s="125">
        <f>SUM(AZ37,AW37,AX37,AY37)</f>
        <v>1797.232</v>
      </c>
      <c r="BA214" s="124">
        <f>BA37</f>
        <v>1797.213</v>
      </c>
      <c r="BB214" s="125">
        <f>SUM(BB37,AX37,AY37,AZ37)</f>
        <v>1836.158</v>
      </c>
      <c r="BC214" s="125">
        <f>SUM(BC37,AY37,AZ37,BB37)</f>
        <v>1898.441</v>
      </c>
      <c r="BD214" s="125">
        <f>SUM(BD37,AZ37,BB37,BC37)</f>
        <v>1958.738</v>
      </c>
      <c r="BE214" s="125">
        <f>SUM(BE37,BB37,BC37,BD37)</f>
        <v>2060.523</v>
      </c>
      <c r="BF214" s="124">
        <f>BF37</f>
        <v>2060.523</v>
      </c>
      <c r="BG214" s="125">
        <f>SUM(BG37,BC37,BD37,BE37)</f>
        <v>2132.495</v>
      </c>
      <c r="BH214" s="125">
        <f>SUM(BH37,BD37,BE37,BG37)</f>
        <v>2194.005</v>
      </c>
      <c r="BI214" s="125">
        <f>SUM(BI37,BE37,BG37,BH37)</f>
        <v>2258.728</v>
      </c>
      <c r="BJ214" s="125">
        <f>SUM(BJ37,BG37,BH37,BI37)</f>
        <v>2344.392</v>
      </c>
      <c r="BK214" s="124">
        <f>BK37</f>
        <v>2344.392</v>
      </c>
      <c r="BL214" s="125">
        <f>SUM(BL37,BH37,BI37,BJ37)</f>
        <v>2369.183</v>
      </c>
      <c r="BM214" s="125">
        <f>SUM(BM37,BI37,BJ37,BL37)</f>
        <v>2435.717</v>
      </c>
      <c r="BN214" s="125">
        <f>SUM(BN37,BJ37,BL37,BM37)</f>
        <v>2510.335</v>
      </c>
      <c r="BO214" s="125">
        <f>SUM(BO37,BL37,BM37,BN37)</f>
        <v>2649.197</v>
      </c>
      <c r="BP214" s="124">
        <f>BP37</f>
        <v>2649.181</v>
      </c>
      <c r="BQ214" s="125">
        <f>SUM(BQ37,BM37,BN37,BO37)</f>
        <v>2778.596</v>
      </c>
      <c r="BR214" s="125">
        <f>SUM(BR37,BN37,BO37,BQ37)</f>
        <v>2921.042</v>
      </c>
      <c r="BS214" s="125">
        <f>SUM(BS37,BO37,BQ37,BR37)</f>
        <v>3049.663</v>
      </c>
      <c r="BT214" s="125">
        <f>SUM(BT37,BQ37,BR37,BS37)</f>
        <v>3288.319</v>
      </c>
      <c r="BU214" s="124">
        <f>BU37</f>
        <v>3288.319</v>
      </c>
      <c r="BV214" s="125">
        <f>SUM(BV37,BR37,BS37,BT37)</f>
        <v>3420.928</v>
      </c>
      <c r="BW214" s="125">
        <f>SUM(BW37,BS37,BT37,BV37)</f>
        <v>3580.78</v>
      </c>
      <c r="BX214" s="125">
        <f>SUM(BX37,BT37,BV37,BW37)</f>
        <v>3749.263</v>
      </c>
      <c r="BY214" s="125">
        <f>SUM(BY37,BV37,BW37,BX37)</f>
        <v>3979.296</v>
      </c>
      <c r="BZ214" s="124">
        <f>BZ37</f>
        <v>3979.296</v>
      </c>
      <c r="CA214" s="125">
        <f>SUM(CA37,BW37,BX37,BY37)</f>
        <v>3848.943</v>
      </c>
      <c r="CB214" s="125">
        <f>SUM(CB37,BX37,BY37,CA37)</f>
        <v>3868.533</v>
      </c>
      <c r="CC214" s="125">
        <f>SUM(CC37,BY37,CA37,CB37)</f>
        <v>4069.821</v>
      </c>
      <c r="CD214" s="125">
        <f>SUM(CD37,CA37,CB37,CC37)</f>
        <v>4401.88</v>
      </c>
      <c r="CE214" s="124">
        <f>CE37</f>
        <v>4401.88</v>
      </c>
      <c r="CF214" s="125">
        <f>SUM(CF37,CB37,CC37,CD37)</f>
        <v>4976.383</v>
      </c>
      <c r="CG214" s="125">
        <f>SUM(CG37,CC37,CD37,CF37)</f>
        <v>5524.059</v>
      </c>
      <c r="CH214" s="125">
        <f>SUM(CH37,CD37,CF37,CG37)</f>
        <v>5857.054</v>
      </c>
      <c r="CI214" s="125">
        <f>SUM(CI37,CF37,CG37,CH37)</f>
        <v>6256.617</v>
      </c>
      <c r="CJ214" s="124">
        <f>CJ37</f>
        <v>6256.617</v>
      </c>
      <c r="CK214" s="125">
        <f>SUM(CK37,CG37,CH37,CI37)</f>
        <v>6643.615</v>
      </c>
      <c r="CL214" s="125">
        <f>SUM(CL37,CH37,CI37,CK37)</f>
        <v>7061.325</v>
      </c>
      <c r="CM214" s="125">
        <f>SUM(CM37,CI37,CK37,CL37)</f>
        <v>7467.793</v>
      </c>
      <c r="CN214" s="125">
        <f>SUM(CN37,CK37,CL37,CM37)</f>
        <v>8110.518</v>
      </c>
      <c r="CO214" s="124">
        <f>CO37</f>
        <v>8110.518</v>
      </c>
      <c r="CP214" s="125">
        <f>SUM(CP37,CL37,CM37,CN37)</f>
        <v>8497.847</v>
      </c>
      <c r="CQ214" s="125">
        <f>SUM(CQ37,CM37,CN37,CP37)</f>
        <v>8838.684</v>
      </c>
      <c r="CR214" s="125">
        <f>SUM(CR37,CN37,CP37,CQ37)</f>
        <v>9186.013</v>
      </c>
      <c r="CS214" s="125">
        <f>SUM(CS37,CP37,CQ37,CR37)</f>
        <v>9619.278</v>
      </c>
      <c r="CT214" s="124">
        <f>CT37</f>
        <v>9619.278</v>
      </c>
      <c r="CU214" s="125">
        <f>SUM(CU37,CQ37,CR37,CS37)</f>
        <v>9827.377</v>
      </c>
      <c r="CV214" s="125">
        <f>SUM(CV37,CR37,CS37,CU37)</f>
        <v>9989.29</v>
      </c>
      <c r="CW214" s="125">
        <f>SUM(CW37,CS37,CU37,CV37)</f>
        <v>10181.732</v>
      </c>
      <c r="CX214" s="125">
        <f>SUM(CX37,CU37,CV37,CW37)</f>
        <v>10588.126</v>
      </c>
      <c r="CY214" s="124">
        <f>CY37</f>
        <v>10588.126</v>
      </c>
      <c r="CZ214" s="125">
        <f>SUM(CZ37,CV37,CW37,CX37)</f>
        <v>10749.895</v>
      </c>
      <c r="DA214" s="125">
        <f>SUM(DA37,CW37,CX37,CZ37)</f>
        <v>10904.036</v>
      </c>
      <c r="DB214" s="125">
        <f>SUM(DB37,CX37,CZ37,DA37)</f>
        <v>11073.296</v>
      </c>
      <c r="DC214" s="125">
        <f>SUM(DC37,CZ37,DA37,DB37)</f>
        <v>11102.6</v>
      </c>
      <c r="DD214" s="124">
        <f>DD37</f>
        <v>11102.6</v>
      </c>
      <c r="DE214" s="125">
        <f>SUM(DE37,DA37,DB37,DC37)</f>
        <v>11203.543</v>
      </c>
      <c r="DF214" s="125">
        <f>SUM(DF37,DB37,DC37,DE37)</f>
        <v>11093.955</v>
      </c>
      <c r="DG214" s="125">
        <f>SUM(DG37,DC37,DE37,DF37)</f>
        <v>10843.6263437829</v>
      </c>
      <c r="DH214" s="125">
        <f>SUM(DH37,DE37,DF37,DG37)</f>
        <v>10466.6026525261</v>
      </c>
      <c r="DI214" s="124">
        <f>DI37</f>
        <v>10466.6026525261</v>
      </c>
      <c r="DJ214" s="125">
        <f>SUM(DJ37,DF37,DG37,DH37)</f>
        <v>10356.055823123</v>
      </c>
      <c r="DK214" s="125">
        <f>SUM(DK37,DG37,DH37,DJ37)</f>
        <v>10270.1228354088</v>
      </c>
      <c r="DL214" s="125">
        <f>SUM(DL37,DH37,DJ37,DK37)</f>
        <v>10259.6801310768</v>
      </c>
      <c r="DM214" s="125">
        <f>SUM(DM37,DJ37,DK37,DL37)</f>
        <v>10216.9239040443</v>
      </c>
      <c r="DN214" s="124">
        <f>DN37</f>
        <v>10216.9239040443</v>
      </c>
      <c r="DO214" s="125">
        <f>SUM(DO37,DK37,DL37,DM37)</f>
        <v>10247.8658807172</v>
      </c>
      <c r="DP214" s="125">
        <f>SUM(DP37,DL37,DM37,DO37)</f>
        <v>10274.4052698741</v>
      </c>
      <c r="DQ214" s="125">
        <f>SUM(DQ37,DM37,DO37,DP37)</f>
        <v>10310.8415796884</v>
      </c>
      <c r="DR214" s="125">
        <f>SUM(DR37,DO37,DP37,DQ37)</f>
        <v>10330.9868880846</v>
      </c>
      <c r="DS214" s="124">
        <f>DS37</f>
        <v>10330.9868880846</v>
      </c>
    </row>
    <row r="215" spans="1:123">
      <c r="B215" s="633" t="s">
        <v>154</v>
      </c>
      <c r="C215" s="124"/>
      <c r="H215" s="124"/>
      <c r="M215" s="124">
        <f>M40</f>
        <v>-72.903112</v>
      </c>
      <c r="R215" s="124">
        <f>R40</f>
        <v>-128.411175</v>
      </c>
      <c r="W215" s="124">
        <f>W40</f>
        <v>-175.167459</v>
      </c>
      <c r="AB215" s="124">
        <f>AB40</f>
        <v>-229.887</v>
      </c>
      <c r="AG215" s="124">
        <f>AG40</f>
        <v>-316.757</v>
      </c>
      <c r="AL215" s="124">
        <f>AL40</f>
        <v>-431.514</v>
      </c>
      <c r="AM215" s="125">
        <f>SUM(AM40,AI40,AJ40,AK40)</f>
        <v>-482.895</v>
      </c>
      <c r="AN215" s="125">
        <f>SUM(AN40,AJ40,AK40,AM40)</f>
        <v>-519.518</v>
      </c>
      <c r="AO215" s="125">
        <f>SUM(AO40,AK40,AM40,AN40)</f>
        <v>-559.052</v>
      </c>
      <c r="AP215" s="125">
        <f>SUM(AP40,AM40,AN40,AO40)</f>
        <v>-607.532</v>
      </c>
      <c r="AQ215" s="124">
        <f>AQ40</f>
        <v>-607.532</v>
      </c>
      <c r="AR215" s="125">
        <f>SUM(AR40,AN40,AO40,AP40)</f>
        <v>-654.155</v>
      </c>
      <c r="AS215" s="125">
        <f>SUM(AS40,AO40,AP40,AR40)</f>
        <v>-685.834</v>
      </c>
      <c r="AT215" s="125">
        <f>SUM(AT40,AP40,AR40,AS40)</f>
        <v>-719.891</v>
      </c>
      <c r="AU215" s="125">
        <f>SUM(AU40,AR40,AS40,AT40)</f>
        <v>-751.112</v>
      </c>
      <c r="AV215" s="124">
        <f>AV40</f>
        <v>-751.112</v>
      </c>
      <c r="AW215" s="125">
        <f>SUM(AW40,AS40,AT40,AU40)</f>
        <v>-764.929</v>
      </c>
      <c r="AX215" s="125">
        <f>SUM(AX40,AT40,AU40,AW40)</f>
        <v>-799.772</v>
      </c>
      <c r="AY215" s="125">
        <f>SUM(AY40,AU40,AW40,AX40)</f>
        <v>-832.786</v>
      </c>
      <c r="AZ215" s="125">
        <f>SUM(AZ40,AW40,AX40,AY40)</f>
        <v>-883.033</v>
      </c>
      <c r="BA215" s="124">
        <f>BA40</f>
        <v>-883.033</v>
      </c>
      <c r="BB215" s="125">
        <f>SUM(BB40,AX40,AY40,AZ40)</f>
        <v>-911.826</v>
      </c>
      <c r="BC215" s="125">
        <f>SUM(BC40,AY40,AZ40,BB40)</f>
        <v>-959.41</v>
      </c>
      <c r="BD215" s="125">
        <f>SUM(BD40,AZ40,BB40,BC40)</f>
        <v>-1005.998</v>
      </c>
      <c r="BE215" s="125">
        <f>SUM(BE40,BB40,BC40,BD40)</f>
        <v>-1063.357</v>
      </c>
      <c r="BF215" s="124">
        <f>BF40</f>
        <v>-1063.357</v>
      </c>
      <c r="BG215" s="125">
        <f>SUM(BG40,BC40,BD40,BE40)</f>
        <v>-1102.075</v>
      </c>
      <c r="BH215" s="125">
        <f>SUM(BH40,BD40,BE40,BG40)</f>
        <v>-1121.449</v>
      </c>
      <c r="BI215" s="125">
        <f>SUM(BI40,BE40,BG40,BH40)</f>
        <v>-1132.543</v>
      </c>
      <c r="BJ215" s="125">
        <f>SUM(BJ40,BG40,BH40,BI40)</f>
        <v>-1144.775</v>
      </c>
      <c r="BK215" s="124">
        <f>BK40</f>
        <v>-1144.775</v>
      </c>
      <c r="BL215" s="125">
        <f>SUM(BL40,BH40,BI40,BJ40)</f>
        <v>-1146.383</v>
      </c>
      <c r="BM215" s="125">
        <f>SUM(BM40,BI40,BJ40,BL40)</f>
        <v>-1167.412</v>
      </c>
      <c r="BN215" s="125">
        <f>SUM(BN40,BJ40,BL40,BM40)</f>
        <v>-1197.3</v>
      </c>
      <c r="BO215" s="125">
        <f>SUM(BO40,BL40,BM40,BN40)</f>
        <v>-1241.693</v>
      </c>
      <c r="BP215" s="124">
        <f>BP40</f>
        <v>-1241.693</v>
      </c>
      <c r="BQ215" s="125">
        <f>SUM(BQ40,BM40,BN40,BO40)</f>
        <v>-1288.673</v>
      </c>
      <c r="BR215" s="125">
        <f>SUM(BR40,BN40,BO40,BQ40)</f>
        <v>-1334.591</v>
      </c>
      <c r="BS215" s="125">
        <f>SUM(BS40,BO40,BQ40,BR40)</f>
        <v>-1379.591</v>
      </c>
      <c r="BT215" s="125">
        <f>SUM(BT40,BQ40,BR40,BS40)</f>
        <v>-1472.032</v>
      </c>
      <c r="BU215" s="124">
        <f>BU40</f>
        <v>-1472.032</v>
      </c>
      <c r="BV215" s="125">
        <f>SUM(BV40,BR40,BS40,BT40)</f>
        <v>-1527.654</v>
      </c>
      <c r="BW215" s="125">
        <f>SUM(BW40,BS40,BT40,BV40)</f>
        <v>-1597.904</v>
      </c>
      <c r="BX215" s="125">
        <f>SUM(BX40,BT40,BV40,BW40)</f>
        <v>-1668.12</v>
      </c>
      <c r="BY215" s="125">
        <f>SUM(BY40,BV40,BW40,BX40)</f>
        <v>-1755.91</v>
      </c>
      <c r="BZ215" s="124">
        <f>BZ40</f>
        <v>-1755.91</v>
      </c>
      <c r="CA215" s="125">
        <f>SUM(CA40,BW40,BX40,BY40)</f>
        <v>-1712.875</v>
      </c>
      <c r="CB215" s="125">
        <f>SUM(CB40,BX40,BY40,CA40)</f>
        <v>-1728.76</v>
      </c>
      <c r="CC215" s="125">
        <f>SUM(CC40,BY40,CA40,CB40)</f>
        <v>-1807.738</v>
      </c>
      <c r="CD215" s="125">
        <f>SUM(CD40,CA40,CB40,CC40)</f>
        <v>-1937.889</v>
      </c>
      <c r="CE215" s="124">
        <f>CE40</f>
        <v>-1937.889</v>
      </c>
      <c r="CF215" s="125">
        <f>SUM(CF40,CB40,CC40,CD40)</f>
        <v>-2146.48</v>
      </c>
      <c r="CG215" s="125">
        <f>SUM(CG40,CC40,CD40,CF40)</f>
        <v>-2340.971</v>
      </c>
      <c r="CH215" s="125">
        <f>SUM(CH40,CD40,CF40,CG40)</f>
        <v>-2471.927</v>
      </c>
      <c r="CI215" s="125">
        <f>SUM(CI40,CF40,CG40,CH40)</f>
        <v>-2648.052</v>
      </c>
      <c r="CJ215" s="124">
        <f>CJ40</f>
        <v>-2648.052</v>
      </c>
      <c r="CK215" s="125">
        <f>SUM(CK40,CG40,CH40,CI40)</f>
        <v>-2864.971</v>
      </c>
      <c r="CL215" s="125">
        <f>SUM(CL40,CH40,CI40,CK40)</f>
        <v>-3069.891</v>
      </c>
      <c r="CM215" s="125">
        <f>SUM(CM40,CI40,CK40,CL40)</f>
        <v>-3266.9</v>
      </c>
      <c r="CN215" s="125">
        <f>SUM(CN40,CK40,CL40,CM40)</f>
        <v>-3555.25</v>
      </c>
      <c r="CO215" s="124">
        <f>CO40</f>
        <v>-3555.25</v>
      </c>
      <c r="CP215" s="125">
        <f>SUM(CP40,CL40,CM40,CN40)</f>
        <v>-3662.167</v>
      </c>
      <c r="CQ215" s="125">
        <f>SUM(CQ40,CM40,CN40,CP40)</f>
        <v>-3759.969</v>
      </c>
      <c r="CR215" s="125">
        <f>SUM(CR40,CN40,CP40,CQ40)</f>
        <v>-3865.777</v>
      </c>
      <c r="CS215" s="125">
        <f>SUM(CS40,CP40,CQ40,CR40)</f>
        <v>-3986.164</v>
      </c>
      <c r="CT215" s="124">
        <f>CT40</f>
        <v>-3986.164</v>
      </c>
      <c r="CU215" s="125">
        <f>SUM(CU40,CQ40,CR40,CS40)</f>
        <v>-4070</v>
      </c>
      <c r="CV215" s="125">
        <f>SUM(CV40,CR40,CS40,CU40)</f>
        <v>-4118.239</v>
      </c>
      <c r="CW215" s="125">
        <f>SUM(CW40,CS40,CU40,CV40)</f>
        <v>-4189.448</v>
      </c>
      <c r="CX215" s="125">
        <f>SUM(CX40,CU40,CV40,CW40)</f>
        <v>-4317.315</v>
      </c>
      <c r="CY215" s="124">
        <f>CY40</f>
        <v>-4317.315</v>
      </c>
      <c r="CZ215" s="125">
        <f>SUM(CZ40,CV40,CW40,CX40)</f>
        <v>-4371.026</v>
      </c>
      <c r="DA215" s="125">
        <f>SUM(DA40,CW40,CX40,CZ40)</f>
        <v>-4460.15</v>
      </c>
      <c r="DB215" s="125">
        <f>SUM(DB40,CX40,CZ40,DA40)</f>
        <v>-4605.1</v>
      </c>
      <c r="DC215" s="125">
        <f>SUM(DC40,CZ40,DA40,DB40)</f>
        <v>-4818.468</v>
      </c>
      <c r="DD215" s="124">
        <f>DD40</f>
        <v>-4818.468</v>
      </c>
      <c r="DE215" s="125">
        <f>SUM(DE40,DA40,DB40,DC40)</f>
        <v>-4963.719</v>
      </c>
      <c r="DF215" s="125">
        <f>SUM(DF40,DB40,DC40,DE40)</f>
        <v>-4869.455</v>
      </c>
      <c r="DG215" s="125">
        <f>SUM(DG40,DC40,DE40,DF40)</f>
        <v>-4816.12710361929</v>
      </c>
      <c r="DH215" s="125">
        <f>SUM(DH40,DE40,DF40,DG40)</f>
        <v>-4645.99500255866</v>
      </c>
      <c r="DI215" s="124">
        <f>DI40</f>
        <v>-4645.99500255866</v>
      </c>
      <c r="DJ215" s="125">
        <f>SUM(DJ40,DF40,DG40,DH40)</f>
        <v>-4588.24601508425</v>
      </c>
      <c r="DK215" s="125">
        <f>SUM(DK40,DG40,DH40,DJ40)</f>
        <v>-4675.46176682889</v>
      </c>
      <c r="DL215" s="125">
        <f>SUM(DL40,DH40,DJ40,DK40)</f>
        <v>-4674.0188680591</v>
      </c>
      <c r="DM215" s="125">
        <f>SUM(DM40,DJ40,DK40,DL40)</f>
        <v>-4659.5566340453</v>
      </c>
      <c r="DN215" s="124">
        <f>DN40</f>
        <v>-4659.5566340453</v>
      </c>
      <c r="DO215" s="125">
        <f>SUM(DO40,DK40,DL40,DM40)</f>
        <v>-4676.03713192265</v>
      </c>
      <c r="DP215" s="125">
        <f>SUM(DP40,DL40,DM40,DO40)</f>
        <v>-4690.25184825871</v>
      </c>
      <c r="DQ215" s="125">
        <f>SUM(DQ40,DM40,DO40,DP40)</f>
        <v>-4709.74716143007</v>
      </c>
      <c r="DR215" s="125">
        <f>SUM(DR40,DO40,DP40,DQ40)</f>
        <v>-4722.10912476611</v>
      </c>
      <c r="DS215" s="124">
        <f>DS40</f>
        <v>-4722.10912476611</v>
      </c>
    </row>
    <row r="216" spans="1:123">
      <c r="B216" s="633" t="s">
        <v>155</v>
      </c>
      <c r="C216" s="124"/>
      <c r="H216" s="124"/>
      <c r="M216" s="124">
        <f>M78</f>
        <v>28.02837</v>
      </c>
      <c r="R216" s="124">
        <f>R78</f>
        <v>58.4160589999999</v>
      </c>
      <c r="W216" s="124">
        <f>W78</f>
        <v>76.588815</v>
      </c>
      <c r="AB216" s="124">
        <f>AB78</f>
        <v>107.574</v>
      </c>
      <c r="AG216" s="124">
        <f>AG78</f>
        <v>205.005</v>
      </c>
      <c r="AL216" s="124">
        <f>AL78</f>
        <v>317.217</v>
      </c>
      <c r="AM216" s="125">
        <f>SUM(AM78,AI78,AJ78,AK78)</f>
        <v>342.352</v>
      </c>
      <c r="AN216" s="125">
        <f>SUM(AN78,AJ78,AK78,AM78)</f>
        <v>355.218</v>
      </c>
      <c r="AO216" s="125">
        <f>SUM(AO78,AK78,AM78,AN78)</f>
        <v>380.264</v>
      </c>
      <c r="AP216" s="125">
        <f>SUM(AP78,AM78,AN78,AO78)</f>
        <v>419.439</v>
      </c>
      <c r="AQ216" s="124">
        <f>AQ78</f>
        <v>419.439</v>
      </c>
      <c r="AR216" s="125">
        <f>SUM(AR78,AN78,AO78,AP78)</f>
        <v>414.194</v>
      </c>
      <c r="AS216" s="125">
        <f>SUM(AS78,AO78,AP78,AR78)</f>
        <v>425.389</v>
      </c>
      <c r="AT216" s="125">
        <f>SUM(AT78,AP78,AR78,AS78)</f>
        <v>438.547</v>
      </c>
      <c r="AU216" s="125">
        <f>SUM(AU78,AR78,AS78,AT78)</f>
        <v>440.426</v>
      </c>
      <c r="AV216" s="124">
        <f>AV78</f>
        <v>440.426</v>
      </c>
      <c r="AW216" s="125">
        <f>SUM(AW78,AS78,AT78,AU78)</f>
        <v>445.069</v>
      </c>
      <c r="AX216" s="125">
        <f>SUM(AX78,AT78,AU78,AW78)</f>
        <v>435.549</v>
      </c>
      <c r="AY216" s="125">
        <f>SUM(AY78,AU78,AW78,AX78)</f>
        <v>427.065</v>
      </c>
      <c r="AZ216" s="125">
        <f>SUM(AZ78,AW78,AX78,AY78)</f>
        <v>434.416</v>
      </c>
      <c r="BA216" s="124">
        <f>BA78</f>
        <v>434.397</v>
      </c>
      <c r="BB216" s="125">
        <f>SUM(BB78,AX78,AY78,AZ78)</f>
        <v>436.287</v>
      </c>
      <c r="BC216" s="125">
        <f>SUM(BC78,AY78,AZ78,BB78)</f>
        <v>438.017</v>
      </c>
      <c r="BD216" s="125">
        <f>SUM(BD78,AZ78,BB78,BC78)</f>
        <v>429.134</v>
      </c>
      <c r="BE216" s="125">
        <f>SUM(BE78,BB78,BC78,BD78)</f>
        <v>442.459</v>
      </c>
      <c r="BF216" s="124">
        <f>BF78</f>
        <v>442.459</v>
      </c>
      <c r="BG216" s="125">
        <f>SUM(BG78,BC78,BD78,BE78)</f>
        <v>435.101</v>
      </c>
      <c r="BH216" s="125">
        <f>SUM(BH78,BD78,BE78,BG78)</f>
        <v>446.284</v>
      </c>
      <c r="BI216" s="125">
        <f>SUM(BI78,BE78,BG78,BH78)</f>
        <v>475.332</v>
      </c>
      <c r="BJ216" s="125">
        <f>SUM(BJ78,BG78,BH78,BI78)</f>
        <v>508.849</v>
      </c>
      <c r="BK216" s="124">
        <f>BK78</f>
        <v>508.849</v>
      </c>
      <c r="BL216" s="125">
        <f>SUM(BL78,BH78,BI78,BJ78)</f>
        <v>518.411</v>
      </c>
      <c r="BM216" s="125">
        <f>SUM(BM78,BI78,BJ78,BL78)</f>
        <v>526.502</v>
      </c>
      <c r="BN216" s="125">
        <f>SUM(BN78,BJ78,BL78,BM78)</f>
        <v>545.918</v>
      </c>
      <c r="BO216" s="125">
        <f>SUM(BO78,BL78,BM78,BN78)</f>
        <v>611.475</v>
      </c>
      <c r="BP216" s="124">
        <f>BP78</f>
        <v>611.459</v>
      </c>
      <c r="BQ216" s="125">
        <f>SUM(BQ78,BM78,BN78,BO78)</f>
        <v>656.217</v>
      </c>
      <c r="BR216" s="125">
        <f>SUM(BR78,BN78,BO78,BQ78)</f>
        <v>716.533</v>
      </c>
      <c r="BS216" s="125">
        <f>SUM(BS78,BO78,BQ78,BR78)</f>
        <v>747.773</v>
      </c>
      <c r="BT216" s="125">
        <f>SUM(BT78,BQ78,BR78,BS78)</f>
        <v>828.32</v>
      </c>
      <c r="BU216" s="124">
        <f>BU78</f>
        <v>828.32</v>
      </c>
      <c r="BV216" s="125">
        <f>SUM(BV78,BR78,BS78,BT78)</f>
        <v>858.877</v>
      </c>
      <c r="BW216" s="125">
        <f>SUM(BW78,BS78,BT78,BV78)</f>
        <v>901.594</v>
      </c>
      <c r="BX216" s="125">
        <f>SUM(BX78,BT78,BV78,BW78)</f>
        <v>953.856</v>
      </c>
      <c r="BY216" s="125">
        <f>SUM(BY78,BV78,BW78,BX78)</f>
        <v>1051.043</v>
      </c>
      <c r="BZ216" s="124">
        <f>BZ78</f>
        <v>1051.043</v>
      </c>
      <c r="CA216" s="125">
        <f>SUM(CA78,BW78,BX78,BY78)</f>
        <v>965.691</v>
      </c>
      <c r="CB216" s="125">
        <f>SUM(CB78,BX78,BY78,CA78)</f>
        <v>936.627</v>
      </c>
      <c r="CC216" s="125">
        <f>SUM(CC78,BY78,CA78,CB78)</f>
        <v>979.26</v>
      </c>
      <c r="CD216" s="125">
        <f>SUM(CD78,CA78,CB78,CC78)</f>
        <v>1033.261</v>
      </c>
      <c r="CE216" s="124">
        <f>CE78</f>
        <v>1033.261</v>
      </c>
      <c r="CF216" s="125">
        <f>SUM(CF78,CB78,CC78,CD78)</f>
        <v>1208.948</v>
      </c>
      <c r="CG216" s="125">
        <f>SUM(CG78,CC78,CD78,CF78)</f>
        <v>1385.243</v>
      </c>
      <c r="CH216" s="125">
        <f>SUM(CH78,CD78,CF78,CG78)</f>
        <v>1462.796</v>
      </c>
      <c r="CI216" s="125">
        <f>SUM(CI78,CF78,CG78,CH78)</f>
        <v>1598.955</v>
      </c>
      <c r="CJ216" s="124">
        <f>CJ78</f>
        <v>1598.955</v>
      </c>
      <c r="CK216" s="125">
        <f>SUM(CK78,CG78,CH78,CI78)</f>
        <v>1671.802</v>
      </c>
      <c r="CL216" s="125">
        <f>SUM(CL78,CH78,CI78,CK78)</f>
        <v>1777.989</v>
      </c>
      <c r="CM216" s="125">
        <f>SUM(CM78,CI78,CK78,CL78)</f>
        <v>1869.567</v>
      </c>
      <c r="CN216" s="125">
        <f>SUM(CN78,CK78,CL78,CM78)</f>
        <v>2080.86</v>
      </c>
      <c r="CO216" s="124">
        <f>CO78</f>
        <v>2080.86</v>
      </c>
      <c r="CP216" s="125">
        <f>SUM(CP78,CL78,CM78,CN78)</f>
        <v>2241.573</v>
      </c>
      <c r="CQ216" s="125">
        <f>SUM(CQ78,CM78,CN78,CP78)</f>
        <v>2355.84</v>
      </c>
      <c r="CR216" s="125">
        <f>SUM(CR78,CN78,CP78,CQ78)</f>
        <v>2458.519</v>
      </c>
      <c r="CS216" s="125">
        <f>SUM(CS78,CP78,CQ78,CR78)</f>
        <v>2610.27</v>
      </c>
      <c r="CT216" s="124">
        <f>CT78</f>
        <v>2610.27</v>
      </c>
      <c r="CU216" s="125">
        <f>SUM(CU78,CQ78,CR78,CS78)</f>
        <v>2653.141</v>
      </c>
      <c r="CV216" s="125">
        <f>SUM(CV78,CR78,CS78,CU78)</f>
        <v>2723.674</v>
      </c>
      <c r="CW216" s="125">
        <f>SUM(CW78,CS78,CU78,CV78)</f>
        <v>2793.64</v>
      </c>
      <c r="CX216" s="125">
        <f>SUM(CX78,CU78,CV78,CW78)</f>
        <v>2952.221</v>
      </c>
      <c r="CY216" s="124">
        <f>CY78</f>
        <v>2952.221</v>
      </c>
      <c r="CZ216" s="125">
        <f>SUM(CZ78,CV78,CW78,CX78)</f>
        <v>2976.974</v>
      </c>
      <c r="DA216" s="125">
        <f>SUM(DA78,CW78,CX78,CZ78)</f>
        <v>2976.704</v>
      </c>
      <c r="DB216" s="125">
        <f>SUM(DB78,CX78,CZ78,DA78)</f>
        <v>2935.789</v>
      </c>
      <c r="DC216" s="125">
        <f>SUM(DC78,CZ78,DA78,DB78)</f>
        <v>2706.843</v>
      </c>
      <c r="DD216" s="124">
        <f>DD78</f>
        <v>2706.843</v>
      </c>
      <c r="DE216" s="125">
        <f>SUM(DE78,DA78,DB78,DC78)</f>
        <v>2565.97</v>
      </c>
      <c r="DF216" s="125">
        <f>SUM(DF78,DB78,DC78,DE78)</f>
        <v>2518.426</v>
      </c>
      <c r="DG216" s="125">
        <f>SUM(DG78,DC78,DE78,DF78)</f>
        <v>2255.80965042751</v>
      </c>
      <c r="DH216" s="125">
        <f>SUM(DH78,DE78,DF78,DG78)</f>
        <v>2098.13003076375</v>
      </c>
      <c r="DI216" s="124">
        <f>DI78</f>
        <v>2098.13003076375</v>
      </c>
      <c r="DJ216" s="125">
        <f>SUM(DJ78,DF78,DG78,DH78)</f>
        <v>2082.57049025397</v>
      </c>
      <c r="DK216" s="125">
        <f>SUM(DK78,DG78,DH78,DJ78)</f>
        <v>1936.78801627908</v>
      </c>
      <c r="DL216" s="125">
        <f>SUM(DL78,DH78,DJ78,DK78)</f>
        <v>1942.92927038517</v>
      </c>
      <c r="DM216" s="125">
        <f>SUM(DM78,DJ78,DK78,DL78)</f>
        <v>1934.7352105167</v>
      </c>
      <c r="DN216" s="124">
        <f>DN78</f>
        <v>1934.7352105167</v>
      </c>
      <c r="DO216" s="125">
        <f>SUM(DO78,DK78,DL78,DM78)</f>
        <v>1952.24774228188</v>
      </c>
      <c r="DP216" s="125">
        <f>SUM(DP78,DL78,DM78,DO78)</f>
        <v>1971.56836288817</v>
      </c>
      <c r="DQ216" s="125">
        <f>SUM(DQ78,DM78,DO78,DP78)</f>
        <v>1991.52526028962</v>
      </c>
      <c r="DR216" s="125">
        <f>SUM(DR78,DO78,DP78,DQ78)</f>
        <v>2009.51353216832</v>
      </c>
      <c r="DS216" s="124">
        <f>DS78</f>
        <v>2009.51353216832</v>
      </c>
    </row>
    <row r="217" spans="1:123">
      <c r="B217" s="633" t="s">
        <v>156</v>
      </c>
      <c r="C217" s="124"/>
      <c r="H217" s="124"/>
      <c r="M217" s="124">
        <f>M90</f>
        <v>4.586646</v>
      </c>
      <c r="R217" s="124">
        <f>R90</f>
        <v>8.291254</v>
      </c>
      <c r="W217" s="124">
        <f>W90</f>
        <v>15.82295</v>
      </c>
      <c r="AB217" s="124">
        <f>AB90</f>
        <v>20.832</v>
      </c>
      <c r="AG217" s="124">
        <f>AG90</f>
        <v>24.614</v>
      </c>
      <c r="AL217" s="124">
        <f>AL90</f>
        <v>30.259</v>
      </c>
      <c r="AM217" s="125">
        <f>SUM(AM90,AI90,AJ90,AK90)</f>
        <v>34.016</v>
      </c>
      <c r="AN217" s="125">
        <f>SUM(AN90,AJ90,AK90,AM90)</f>
        <v>36.177</v>
      </c>
      <c r="AO217" s="125">
        <f>SUM(AO90,AK90,AM90,AN90)</f>
        <v>40.333</v>
      </c>
      <c r="AP217" s="125">
        <f>SUM(AP90,AM90,AN90,AO90)</f>
        <v>43</v>
      </c>
      <c r="AQ217" s="124">
        <f>AQ90</f>
        <v>43</v>
      </c>
      <c r="AR217" s="125">
        <f>SUM(AR90,AN90,AO90,AP90)</f>
        <v>44.931</v>
      </c>
      <c r="AS217" s="125">
        <f>SUM(AS90,AO90,AP90,AR90)</f>
        <v>47.328</v>
      </c>
      <c r="AT217" s="125">
        <f>SUM(AT90,AP90,AR90,AS90)</f>
        <v>48.761</v>
      </c>
      <c r="AU217" s="125">
        <f>SUM(AU90,AR90,AS90,AT90)</f>
        <v>49.068</v>
      </c>
      <c r="AV217" s="124">
        <f>AV90</f>
        <v>49.068</v>
      </c>
      <c r="AW217" s="125">
        <f>SUM(AW90,AS90,AT90,AU90)</f>
        <v>49.799</v>
      </c>
      <c r="AX217" s="125">
        <f>SUM(AX90,AT90,AU90,AW90)</f>
        <v>51.358</v>
      </c>
      <c r="AY217" s="125">
        <f>SUM(AY90,AU90,AW90,AX90)</f>
        <v>54.054</v>
      </c>
      <c r="AZ217" s="125">
        <f>SUM(AZ90,AW90,AX90,AY90)</f>
        <v>58.364</v>
      </c>
      <c r="BA217" s="124">
        <f>BA90</f>
        <v>58.364</v>
      </c>
      <c r="BB217" s="125">
        <f>SUM(BB90,AX90,AY90,AZ90)</f>
        <v>62</v>
      </c>
      <c r="BC217" s="125">
        <f>SUM(BC90,AY90,AZ90,BB90)</f>
        <v>65.058</v>
      </c>
      <c r="BD217" s="125">
        <f>SUM(BD90,AZ90,BB90,BC90)</f>
        <v>69.153</v>
      </c>
      <c r="BE217" s="125">
        <f>SUM(BE90,BB90,BC90,BD90)</f>
        <v>73.383</v>
      </c>
      <c r="BF217" s="124">
        <f>BF90</f>
        <v>73.383</v>
      </c>
      <c r="BG217" s="125">
        <f>SUM(BG90,BC90,BD90,BE90)</f>
        <v>76.472</v>
      </c>
      <c r="BH217" s="125">
        <f>SUM(BH90,BD90,BE90,BG90)</f>
        <v>80.275</v>
      </c>
      <c r="BI217" s="125">
        <f>SUM(BI90,BE90,BG90,BH90)</f>
        <v>84.526</v>
      </c>
      <c r="BJ217" s="125">
        <f>SUM(BJ90,BG90,BH90,BI90)</f>
        <v>87.697</v>
      </c>
      <c r="BK217" s="124">
        <f>BK90</f>
        <v>87.697</v>
      </c>
      <c r="BL217" s="125">
        <f>SUM(BL90,BH90,BI90,BJ90)</f>
        <v>91.675</v>
      </c>
      <c r="BM217" s="125">
        <f>SUM(BM90,BI90,BJ90,BL90)</f>
        <v>99.583</v>
      </c>
      <c r="BN217" s="125">
        <f>SUM(BN90,BJ90,BL90,BM90)</f>
        <v>104.185</v>
      </c>
      <c r="BO217" s="125">
        <f>SUM(BO90,BL90,BM90,BN90)</f>
        <v>108.235</v>
      </c>
      <c r="BP217" s="124">
        <f>BP90</f>
        <v>108.235</v>
      </c>
      <c r="BQ217" s="125">
        <f>SUM(BQ90,BM90,BN90,BO90)</f>
        <v>111.845</v>
      </c>
      <c r="BR217" s="125">
        <f>SUM(BR90,BN90,BO90,BQ90)</f>
        <v>112.095</v>
      </c>
      <c r="BS217" s="125">
        <f>SUM(BS90,BO90,BQ90,BR90)</f>
        <v>115.221</v>
      </c>
      <c r="BT217" s="125">
        <f>SUM(BT90,BQ90,BR90,BS90)</f>
        <v>122.484</v>
      </c>
      <c r="BU217" s="124">
        <f>BU90</f>
        <v>122.484</v>
      </c>
      <c r="BV217" s="125">
        <f>SUM(BV90,BR90,BS90,BT90)</f>
        <v>128.534</v>
      </c>
      <c r="BW217" s="125">
        <f>SUM(BW90,BS90,BT90,BV90)</f>
        <v>137.477</v>
      </c>
      <c r="BX217" s="125">
        <f>SUM(BX90,BT90,BV90,BW90)</f>
        <v>149.813</v>
      </c>
      <c r="BY217" s="125">
        <f>SUM(BY90,BV90,BW90,BX90)</f>
        <v>161.933</v>
      </c>
      <c r="BZ217" s="124">
        <f>BZ90</f>
        <v>161.933</v>
      </c>
      <c r="CA217" s="125">
        <f>SUM(CA90,BW90,BX90,BY90)</f>
        <v>172.642</v>
      </c>
      <c r="CB217" s="125">
        <f>SUM(CB90,BX90,BY90,CA90)</f>
        <v>175.687</v>
      </c>
      <c r="CC217" s="125">
        <f>SUM(CC90,BY90,CA90,CB90)</f>
        <v>180.698</v>
      </c>
      <c r="CD217" s="125">
        <f>SUM(CD90,CA90,CB90,CC90)</f>
        <v>185.478</v>
      </c>
      <c r="CE217" s="124">
        <f>CE90</f>
        <v>185.478</v>
      </c>
      <c r="CF217" s="125">
        <f>SUM(CF90,CB90,CC90,CD90)</f>
        <v>192.431</v>
      </c>
      <c r="CG217" s="125">
        <f>SUM(CG90,CC90,CD90,CF90)</f>
        <v>205.425</v>
      </c>
      <c r="CH217" s="125">
        <f>SUM(CH90,CD90,CF90,CG90)</f>
        <v>214.355</v>
      </c>
      <c r="CI217" s="125">
        <f>SUM(CI90,CF90,CG90,CH90)</f>
        <v>224.206</v>
      </c>
      <c r="CJ217" s="124">
        <f>CJ90</f>
        <v>224.206</v>
      </c>
      <c r="CK217" s="125">
        <f>SUM(CK90,CG90,CH90,CI90)</f>
        <v>238.191</v>
      </c>
      <c r="CL217" s="125">
        <f>SUM(CL90,CH90,CI90,CK90)</f>
        <v>252.524</v>
      </c>
      <c r="CM217" s="125">
        <f>SUM(CM90,CI90,CK90,CL90)</f>
        <v>273.749</v>
      </c>
      <c r="CN217" s="125">
        <f>SUM(CN90,CK90,CL90,CM90)</f>
        <v>291.791</v>
      </c>
      <c r="CO217" s="124">
        <f>CO90</f>
        <v>291.791</v>
      </c>
      <c r="CP217" s="125">
        <f>SUM(CP90,CL90,CM90,CN90)</f>
        <v>311.437</v>
      </c>
      <c r="CQ217" s="125">
        <f>SUM(CQ90,CM90,CN90,CP90)</f>
        <v>337.475</v>
      </c>
      <c r="CR217" s="125">
        <f>SUM(CR90,CN90,CP90,CQ90)</f>
        <v>356.256</v>
      </c>
      <c r="CS217" s="125">
        <f>SUM(CS90,CP90,CQ90,CR90)</f>
        <v>379.384</v>
      </c>
      <c r="CT217" s="124">
        <f>CT90</f>
        <v>379.384</v>
      </c>
      <c r="CU217" s="125">
        <f>SUM(CU90,CQ90,CR90,CS90)</f>
        <v>391.027</v>
      </c>
      <c r="CV217" s="125">
        <f>SUM(CV90,CR90,CS90,CU90)</f>
        <v>400.591</v>
      </c>
      <c r="CW217" s="125">
        <f>SUM(CW90,CS90,CU90,CV90)</f>
        <v>416.221</v>
      </c>
      <c r="CX217" s="125">
        <f>SUM(CX90,CU90,CV90,CW90)</f>
        <v>446.524</v>
      </c>
      <c r="CY217" s="124">
        <f>CY90</f>
        <v>446.524</v>
      </c>
      <c r="CZ217" s="125">
        <f>SUM(CZ90,CV90,CW90,CX90)</f>
        <v>465.294</v>
      </c>
      <c r="DA217" s="125">
        <f>SUM(DA90,CW90,CX90,CZ90)</f>
        <v>481.436</v>
      </c>
      <c r="DB217" s="125">
        <f>SUM(DB90,CX90,CZ90,DA90)</f>
        <v>495.296</v>
      </c>
      <c r="DC217" s="125">
        <f>SUM(DC90,CZ90,DA90,DB90)</f>
        <v>496.228</v>
      </c>
      <c r="DD217" s="124">
        <f>DD90</f>
        <v>496.228</v>
      </c>
      <c r="DE217" s="125">
        <f>SUM(DE90,DA90,DB90,DC90)</f>
        <v>517.034</v>
      </c>
      <c r="DF217" s="125">
        <f>SUM(DF90,DB90,DC90,DE90)</f>
        <v>539.651</v>
      </c>
      <c r="DG217" s="125">
        <f>SUM(DG90,DC90,DE90,DF90)</f>
        <v>562.59362</v>
      </c>
      <c r="DH217" s="125">
        <f>SUM(DH90,DE90,DF90,DG90)</f>
        <v>586.80812</v>
      </c>
      <c r="DI217" s="124">
        <f>DI90</f>
        <v>586.80812</v>
      </c>
      <c r="DJ217" s="125">
        <f>SUM(DJ90,DF90,DG90,DH90)</f>
        <v>611.16842</v>
      </c>
      <c r="DK217" s="125">
        <f>SUM(DK90,DG90,DH90,DJ90)</f>
        <v>636.78818</v>
      </c>
      <c r="DL217" s="125">
        <f>SUM(DL90,DH90,DJ90,DK90)</f>
        <v>663.8604716</v>
      </c>
      <c r="DM217" s="125">
        <f>SUM(DM90,DJ90,DK90,DL90)</f>
        <v>692.4335816</v>
      </c>
      <c r="DN217" s="124">
        <f>DN90</f>
        <v>692.4335816</v>
      </c>
      <c r="DO217" s="125">
        <f>SUM(DO90,DK90,DL90,DM90)</f>
        <v>721.1787356</v>
      </c>
      <c r="DP217" s="125">
        <f>SUM(DP90,DL90,DM90,DO90)</f>
        <v>751.4100524</v>
      </c>
      <c r="DQ217" s="125">
        <f>SUM(DQ90,DM90,DO90,DP90)</f>
        <v>783.355356488</v>
      </c>
      <c r="DR217" s="125">
        <f>SUM(DR90,DO90,DP90,DQ90)</f>
        <v>817.071626288</v>
      </c>
      <c r="DS217" s="124">
        <f>DS90</f>
        <v>817.071626288</v>
      </c>
    </row>
    <row r="218" spans="1:123">
      <c r="B218" s="633"/>
      <c r="C218" s="124"/>
      <c r="H218" s="124"/>
      <c r="M218" s="124"/>
      <c r="N218" s="187"/>
      <c r="O218" s="187"/>
      <c r="P218" s="187"/>
      <c r="Q218" s="187"/>
      <c r="R218" s="124"/>
      <c r="S218" s="187"/>
      <c r="T218" s="187"/>
      <c r="U218" s="187"/>
      <c r="V218" s="187"/>
      <c r="W218" s="124"/>
      <c r="X218" s="187"/>
      <c r="Y218" s="187"/>
      <c r="Z218" s="187"/>
      <c r="AA218" s="187"/>
      <c r="AB218" s="124"/>
      <c r="AC218" s="187"/>
      <c r="AD218" s="187"/>
      <c r="AE218" s="187"/>
      <c r="AF218" s="187"/>
      <c r="AG218" s="124"/>
      <c r="AL218" s="124"/>
      <c r="AQ218" s="124"/>
      <c r="AV218" s="124"/>
      <c r="BA218" s="124"/>
      <c r="BF218" s="124"/>
      <c r="BK218" s="124"/>
      <c r="BP218" s="124"/>
      <c r="BU218" s="124"/>
      <c r="BZ218" s="124"/>
      <c r="CE218" s="124"/>
      <c r="CJ218" s="124"/>
      <c r="CO218" s="124"/>
      <c r="CT218" s="124"/>
      <c r="CY218" s="124"/>
      <c r="DD218" s="124"/>
      <c r="DI218" s="124"/>
      <c r="DN218" s="124"/>
      <c r="DS218" s="124"/>
    </row>
    <row r="219" s="4" customFormat="1" spans="1:123">
      <c r="A219" s="345"/>
      <c r="B219" s="634" t="s">
        <v>157</v>
      </c>
      <c r="C219" s="138"/>
      <c r="D219" s="139"/>
      <c r="E219" s="139"/>
      <c r="F219" s="139"/>
      <c r="G219" s="139"/>
      <c r="H219" s="138"/>
      <c r="I219" s="139"/>
      <c r="J219" s="139"/>
      <c r="K219" s="139"/>
      <c r="L219" s="139"/>
      <c r="M219" s="140">
        <f>M174/M214</f>
        <v>0.0153854824461167</v>
      </c>
      <c r="N219" s="139"/>
      <c r="O219" s="139"/>
      <c r="P219" s="139"/>
      <c r="Q219" s="139"/>
      <c r="R219" s="140">
        <f>R174/R214</f>
        <v>0.0161315653385408</v>
      </c>
      <c r="S219" s="139"/>
      <c r="T219" s="139"/>
      <c r="U219" s="139"/>
      <c r="V219" s="139"/>
      <c r="W219" s="140">
        <f>W174/W214</f>
        <v>0.0113614620762968</v>
      </c>
      <c r="X219" s="139"/>
      <c r="Y219" s="139"/>
      <c r="Z219" s="139"/>
      <c r="AA219" s="139"/>
      <c r="AB219" s="140">
        <f>AB174/AB214</f>
        <v>0.0181895261184638</v>
      </c>
      <c r="AC219" s="139"/>
      <c r="AD219" s="139"/>
      <c r="AE219" s="139"/>
      <c r="AF219" s="139"/>
      <c r="AG219" s="140">
        <f>AG174/AG214</f>
        <v>0.0128086957499185</v>
      </c>
      <c r="AH219" s="139"/>
      <c r="AI219" s="139"/>
      <c r="AJ219" s="139"/>
      <c r="AK219" s="139"/>
      <c r="AL219" s="140">
        <f t="shared" ref="AL219:CW219" si="530">AL174/AL214</f>
        <v>0.00519763918072737</v>
      </c>
      <c r="AM219" s="291">
        <f t="shared" si="530"/>
        <v>0.00440824654901037</v>
      </c>
      <c r="AN219" s="291">
        <f t="shared" si="530"/>
        <v>0.00567402920172161</v>
      </c>
      <c r="AO219" s="291">
        <f t="shared" si="530"/>
        <v>0.00640008787087439</v>
      </c>
      <c r="AP219" s="291">
        <f t="shared" si="530"/>
        <v>0.00463455534976991</v>
      </c>
      <c r="AQ219" s="140">
        <f t="shared" si="530"/>
        <v>0.00463455534976991</v>
      </c>
      <c r="AR219" s="291">
        <f t="shared" si="530"/>
        <v>0</v>
      </c>
      <c r="AS219" s="291">
        <f t="shared" si="530"/>
        <v>0</v>
      </c>
      <c r="AT219" s="291">
        <f t="shared" si="530"/>
        <v>0.0077811432141746</v>
      </c>
      <c r="AU219" s="291">
        <f t="shared" si="530"/>
        <v>0.00748057426275211</v>
      </c>
      <c r="AV219" s="140">
        <f t="shared" si="530"/>
        <v>0.00748057426275211</v>
      </c>
      <c r="AW219" s="291">
        <f t="shared" si="530"/>
        <v>0.00481526652368309</v>
      </c>
      <c r="AX219" s="291">
        <f t="shared" si="530"/>
        <v>0.00527073124460846</v>
      </c>
      <c r="AY219" s="291">
        <f t="shared" si="530"/>
        <v>0.00624747192746661</v>
      </c>
      <c r="AZ219" s="291">
        <f t="shared" si="530"/>
        <v>0.00764842824966393</v>
      </c>
      <c r="BA219" s="140">
        <f t="shared" si="530"/>
        <v>0.0076485091082693</v>
      </c>
      <c r="BB219" s="291">
        <f t="shared" si="530"/>
        <v>0.00723630537241349</v>
      </c>
      <c r="BC219" s="291">
        <f t="shared" si="530"/>
        <v>0.0064310663328489</v>
      </c>
      <c r="BD219" s="291">
        <f t="shared" si="530"/>
        <v>0.00636277031435547</v>
      </c>
      <c r="BE219" s="291">
        <f t="shared" si="530"/>
        <v>0.00636149171836471</v>
      </c>
      <c r="BF219" s="140">
        <f t="shared" si="530"/>
        <v>0.00636149171836471</v>
      </c>
      <c r="BG219" s="291">
        <f t="shared" si="530"/>
        <v>0.00445581349545954</v>
      </c>
      <c r="BH219" s="291">
        <f t="shared" si="530"/>
        <v>0.00464720909934116</v>
      </c>
      <c r="BI219" s="291">
        <f t="shared" si="530"/>
        <v>0.00527287924885157</v>
      </c>
      <c r="BJ219" s="291">
        <f t="shared" si="530"/>
        <v>0.00392425840047228</v>
      </c>
      <c r="BK219" s="140">
        <f t="shared" si="530"/>
        <v>0.00392425840047228</v>
      </c>
      <c r="BL219" s="291">
        <f t="shared" si="530"/>
        <v>0.00451927943092619</v>
      </c>
      <c r="BM219" s="291">
        <f t="shared" si="530"/>
        <v>0.00651676693146207</v>
      </c>
      <c r="BN219" s="291">
        <f t="shared" si="530"/>
        <v>0.00847735461601738</v>
      </c>
      <c r="BO219" s="291">
        <f t="shared" si="530"/>
        <v>0.00723728737424963</v>
      </c>
      <c r="BP219" s="140">
        <f t="shared" si="530"/>
        <v>0.00723733108458803</v>
      </c>
      <c r="BQ219" s="291">
        <f t="shared" si="530"/>
        <v>0.00787268102307784</v>
      </c>
      <c r="BR219" s="291">
        <f t="shared" si="530"/>
        <v>0.0080570563518087</v>
      </c>
      <c r="BS219" s="291">
        <f t="shared" si="530"/>
        <v>0.00965614889251698</v>
      </c>
      <c r="BT219" s="291">
        <f t="shared" si="530"/>
        <v>0.0108827641113894</v>
      </c>
      <c r="BU219" s="140">
        <f t="shared" si="530"/>
        <v>0.0108827641113894</v>
      </c>
      <c r="BV219" s="291">
        <f t="shared" si="530"/>
        <v>0.00587706025967223</v>
      </c>
      <c r="BW219" s="291">
        <f t="shared" si="530"/>
        <v>0.00772429470673987</v>
      </c>
      <c r="BX219" s="291">
        <f t="shared" si="530"/>
        <v>0.0095336070048967</v>
      </c>
      <c r="BY219" s="291">
        <f t="shared" si="530"/>
        <v>0.0101070641641135</v>
      </c>
      <c r="BZ219" s="140">
        <f t="shared" si="530"/>
        <v>0.0101070641641135</v>
      </c>
      <c r="CA219" s="291">
        <f t="shared" si="530"/>
        <v>0.0126486674393463</v>
      </c>
      <c r="CB219" s="291">
        <f t="shared" si="530"/>
        <v>0.0126461374376282</v>
      </c>
      <c r="CC219" s="291">
        <f t="shared" si="530"/>
        <v>0.0146866410095186</v>
      </c>
      <c r="CD219" s="291">
        <f t="shared" si="530"/>
        <v>0.0141755340899797</v>
      </c>
      <c r="CE219" s="140">
        <f t="shared" si="530"/>
        <v>0.0141755340899797</v>
      </c>
      <c r="CF219" s="291">
        <f t="shared" si="530"/>
        <v>0.0114452605436519</v>
      </c>
      <c r="CG219" s="291">
        <f t="shared" si="530"/>
        <v>0.0101646271337797</v>
      </c>
      <c r="CH219" s="556">
        <f t="shared" si="530"/>
        <v>0.0128636341751331</v>
      </c>
      <c r="CI219" s="291">
        <f t="shared" si="530"/>
        <v>0.0123071301951198</v>
      </c>
      <c r="CJ219" s="140">
        <f t="shared" si="530"/>
        <v>0.0123071301951198</v>
      </c>
      <c r="CK219" s="291">
        <f t="shared" si="530"/>
        <v>0.01179944954667</v>
      </c>
      <c r="CL219" s="291">
        <f t="shared" si="530"/>
        <v>0.0115819623087735</v>
      </c>
      <c r="CM219" s="556">
        <f t="shared" si="530"/>
        <v>0.0128791732711391</v>
      </c>
      <c r="CN219" s="291">
        <f t="shared" si="530"/>
        <v>0.0163868694946488</v>
      </c>
      <c r="CO219" s="140">
        <f t="shared" si="530"/>
        <v>0.0163868694946488</v>
      </c>
      <c r="CP219" s="291">
        <f t="shared" si="530"/>
        <v>0.0126464974010476</v>
      </c>
      <c r="CQ219" s="291">
        <f t="shared" si="530"/>
        <v>0.0120177392924105</v>
      </c>
      <c r="CR219" s="556">
        <f t="shared" si="530"/>
        <v>0.0116485792040573</v>
      </c>
      <c r="CS219" s="291">
        <f t="shared" si="530"/>
        <v>0.0191004979791623</v>
      </c>
      <c r="CT219" s="140">
        <f t="shared" si="530"/>
        <v>0.0191004979791623</v>
      </c>
      <c r="CU219" s="291">
        <f t="shared" si="530"/>
        <v>0.012856838605052</v>
      </c>
      <c r="CV219" s="291">
        <f t="shared" si="530"/>
        <v>0.0211195190048542</v>
      </c>
      <c r="CW219" s="556">
        <f t="shared" si="530"/>
        <v>0.0140858156549397</v>
      </c>
      <c r="CX219" s="291">
        <f t="shared" ref="CX219:DF219" si="531">CX174/CX214</f>
        <v>0.0113497893772703</v>
      </c>
      <c r="CY219" s="140">
        <f t="shared" si="531"/>
        <v>0.0113497893772703</v>
      </c>
      <c r="CZ219" s="291">
        <f t="shared" si="531"/>
        <v>0.0131388260071377</v>
      </c>
      <c r="DA219" s="291">
        <f t="shared" si="531"/>
        <v>0.0127712344309942</v>
      </c>
      <c r="DB219" s="556">
        <f t="shared" si="531"/>
        <v>0.0226042905382462</v>
      </c>
      <c r="DC219" s="291">
        <f t="shared" si="531"/>
        <v>0.0171722839695207</v>
      </c>
      <c r="DD219" s="140">
        <f t="shared" si="531"/>
        <v>0.0171722839695207</v>
      </c>
      <c r="DE219" s="291">
        <f t="shared" si="531"/>
        <v>0.0147250740234585</v>
      </c>
      <c r="DF219" s="291">
        <f t="shared" si="531"/>
        <v>0.0154285825028135</v>
      </c>
      <c r="DG219" s="557">
        <f t="shared" ref="DG219:DH221" si="532">DB219</f>
        <v>0.0226042905382462</v>
      </c>
      <c r="DH219" s="557">
        <f t="shared" si="532"/>
        <v>0.0171722839695207</v>
      </c>
      <c r="DI219" s="140">
        <f>DI174/DI214</f>
        <v>0.0171722839695207</v>
      </c>
      <c r="DJ219" s="557">
        <f t="shared" ref="DJ219:DJ221" si="533">DE219</f>
        <v>0.0147250740234585</v>
      </c>
      <c r="DK219" s="557">
        <f t="shared" ref="DK219:DK221" si="534">DF219</f>
        <v>0.0154285825028135</v>
      </c>
      <c r="DL219" s="557">
        <f t="shared" ref="DL219:DL221" si="535">DG219</f>
        <v>0.0226042905382462</v>
      </c>
      <c r="DM219" s="557">
        <f t="shared" ref="DM219:DM221" si="536">DH219</f>
        <v>0.0171722839695207</v>
      </c>
      <c r="DN219" s="140">
        <f>DN174/DN214</f>
        <v>0.0171722839695207</v>
      </c>
      <c r="DO219" s="557">
        <f t="shared" ref="DO219:DO221" si="537">DJ219</f>
        <v>0.0147250740234585</v>
      </c>
      <c r="DP219" s="557">
        <f t="shared" ref="DP219:DP221" si="538">DK219</f>
        <v>0.0154285825028135</v>
      </c>
      <c r="DQ219" s="557">
        <f t="shared" ref="DQ219:DQ221" si="539">DL219</f>
        <v>0.0226042905382462</v>
      </c>
      <c r="DR219" s="557">
        <f t="shared" ref="DR219:DR221" si="540">DM219</f>
        <v>0.0171722839695207</v>
      </c>
      <c r="DS219" s="140">
        <f>DS174/DS214</f>
        <v>0.0171722839695207</v>
      </c>
    </row>
    <row r="220" s="4" customFormat="1" spans="1:123">
      <c r="A220" s="345"/>
      <c r="B220" s="634" t="s">
        <v>158</v>
      </c>
      <c r="C220" s="138"/>
      <c r="D220" s="139"/>
      <c r="E220" s="139"/>
      <c r="F220" s="139"/>
      <c r="G220" s="139"/>
      <c r="H220" s="138"/>
      <c r="I220" s="139"/>
      <c r="J220" s="139"/>
      <c r="K220" s="139"/>
      <c r="L220" s="139"/>
      <c r="M220" s="140">
        <f>-M195/M$215</f>
        <v>0.0676930910713386</v>
      </c>
      <c r="N220" s="139"/>
      <c r="O220" s="139"/>
      <c r="P220" s="139"/>
      <c r="Q220" s="139"/>
      <c r="R220" s="140">
        <f>-R195/R$215</f>
        <v>0.0404918341413822</v>
      </c>
      <c r="S220" s="139"/>
      <c r="T220" s="139"/>
      <c r="U220" s="139"/>
      <c r="V220" s="139"/>
      <c r="W220" s="140">
        <f>-W195/W$215</f>
        <v>0.030079787821778</v>
      </c>
      <c r="X220" s="139"/>
      <c r="Y220" s="139"/>
      <c r="Z220" s="139"/>
      <c r="AA220" s="139"/>
      <c r="AB220" s="140">
        <f>-AB195/AB$215</f>
        <v>0.0479713946417153</v>
      </c>
      <c r="AC220" s="139"/>
      <c r="AD220" s="139"/>
      <c r="AE220" s="139"/>
      <c r="AF220" s="139"/>
      <c r="AG220" s="140">
        <f>-AG195/AG$215</f>
        <v>0.0210224241295378</v>
      </c>
      <c r="AH220" s="139"/>
      <c r="AI220" s="139"/>
      <c r="AJ220" s="139"/>
      <c r="AK220" s="139"/>
      <c r="AL220" s="140">
        <f t="shared" ref="AL220:BT220" si="541">-AL195/AL$215</f>
        <v>0.0336860449487155</v>
      </c>
      <c r="AM220" s="291">
        <f t="shared" si="541"/>
        <v>0.00875759740730386</v>
      </c>
      <c r="AN220" s="291">
        <f t="shared" si="541"/>
        <v>0.013383559376191</v>
      </c>
      <c r="AO220" s="291">
        <f t="shared" si="541"/>
        <v>0.0117502486351896</v>
      </c>
      <c r="AP220" s="291">
        <f t="shared" si="541"/>
        <v>0.0669627278892305</v>
      </c>
      <c r="AQ220" s="140">
        <f t="shared" si="541"/>
        <v>0.0669627278892305</v>
      </c>
      <c r="AR220" s="291">
        <f t="shared" si="541"/>
        <v>0.00574175845174309</v>
      </c>
      <c r="AS220" s="291">
        <f t="shared" si="541"/>
        <v>0.0185482201232368</v>
      </c>
      <c r="AT220" s="291">
        <f t="shared" si="541"/>
        <v>0.0066440613926275</v>
      </c>
      <c r="AU220" s="291">
        <f t="shared" si="541"/>
        <v>0.0178615173236481</v>
      </c>
      <c r="AV220" s="140">
        <f t="shared" si="541"/>
        <v>0.0178615173236481</v>
      </c>
      <c r="AW220" s="291">
        <f t="shared" si="541"/>
        <v>0.00909888368724418</v>
      </c>
      <c r="AX220" s="291">
        <f t="shared" si="541"/>
        <v>0.00887753009607738</v>
      </c>
      <c r="AY220" s="291">
        <f t="shared" si="541"/>
        <v>0.0114615279315454</v>
      </c>
      <c r="AZ220" s="291">
        <f t="shared" si="541"/>
        <v>0.0105760486867422</v>
      </c>
      <c r="BA220" s="140">
        <f t="shared" si="541"/>
        <v>0.0105760486867422</v>
      </c>
      <c r="BB220" s="291">
        <f t="shared" si="541"/>
        <v>0.00583225308337336</v>
      </c>
      <c r="BC220" s="291">
        <f t="shared" si="541"/>
        <v>0.00780479669797063</v>
      </c>
      <c r="BD220" s="291">
        <f t="shared" si="541"/>
        <v>0.0058101507160054</v>
      </c>
      <c r="BE220" s="291">
        <f t="shared" si="541"/>
        <v>0.00976247864075753</v>
      </c>
      <c r="BF220" s="140">
        <f t="shared" si="541"/>
        <v>0.00976247864075753</v>
      </c>
      <c r="BG220" s="291">
        <f t="shared" si="541"/>
        <v>0.00584624458408003</v>
      </c>
      <c r="BH220" s="291">
        <f t="shared" si="541"/>
        <v>0.00739668054454549</v>
      </c>
      <c r="BI220" s="291">
        <f t="shared" si="541"/>
        <v>0.00806327000387623</v>
      </c>
      <c r="BJ220" s="291">
        <f t="shared" si="541"/>
        <v>0.0217038282631958</v>
      </c>
      <c r="BK220" s="140">
        <f t="shared" si="541"/>
        <v>0.0217038282631958</v>
      </c>
      <c r="BL220" s="291">
        <f t="shared" si="541"/>
        <v>0.00744341114618762</v>
      </c>
      <c r="BM220" s="291">
        <f t="shared" si="541"/>
        <v>0.0163172898685297</v>
      </c>
      <c r="BN220" s="291">
        <f t="shared" si="541"/>
        <v>0.0117873548818174</v>
      </c>
      <c r="BO220" s="291">
        <f t="shared" si="541"/>
        <v>0.019848706564344</v>
      </c>
      <c r="BP220" s="140">
        <f t="shared" si="541"/>
        <v>0.019848706564344</v>
      </c>
      <c r="BQ220" s="291">
        <f t="shared" si="541"/>
        <v>0.0126137507342825</v>
      </c>
      <c r="BR220" s="291">
        <f t="shared" si="541"/>
        <v>0.0828141355666268</v>
      </c>
      <c r="BS220" s="291">
        <f t="shared" si="541"/>
        <v>0.111003913478705</v>
      </c>
      <c r="BT220" s="291">
        <f t="shared" si="541"/>
        <v>0.0648987250277168</v>
      </c>
      <c r="BU220" s="140">
        <f>BU195/BU$215</f>
        <v>-0.0648987250277168</v>
      </c>
      <c r="BV220" s="291">
        <f t="shared" ref="BV220:DF220" si="542">-BV195/BV$215</f>
        <v>0.0577735534355292</v>
      </c>
      <c r="BW220" s="291">
        <f t="shared" si="542"/>
        <v>0.0691612262063303</v>
      </c>
      <c r="BX220" s="291">
        <f t="shared" si="542"/>
        <v>0.069707814785507</v>
      </c>
      <c r="BY220" s="291">
        <f t="shared" si="542"/>
        <v>0.0455587131458902</v>
      </c>
      <c r="BZ220" s="140">
        <f t="shared" si="542"/>
        <v>0.0455587131458902</v>
      </c>
      <c r="CA220" s="291">
        <f t="shared" si="542"/>
        <v>0.0460862584835438</v>
      </c>
      <c r="CB220" s="291">
        <f t="shared" si="542"/>
        <v>0.0710144843703001</v>
      </c>
      <c r="CC220" s="291">
        <f t="shared" si="542"/>
        <v>0.0889393263846863</v>
      </c>
      <c r="CD220" s="291">
        <f t="shared" si="542"/>
        <v>0.0888833158142701</v>
      </c>
      <c r="CE220" s="140">
        <f t="shared" si="542"/>
        <v>0.0888833158142701</v>
      </c>
      <c r="CF220" s="291">
        <f t="shared" si="542"/>
        <v>0.0917474190302262</v>
      </c>
      <c r="CG220" s="291">
        <f t="shared" si="542"/>
        <v>0.0869493898044871</v>
      </c>
      <c r="CH220" s="556">
        <f t="shared" si="542"/>
        <v>0.0918582951681017</v>
      </c>
      <c r="CI220" s="291">
        <f t="shared" si="542"/>
        <v>0.109411748711883</v>
      </c>
      <c r="CJ220" s="140">
        <f t="shared" si="542"/>
        <v>0.109411748711883</v>
      </c>
      <c r="CK220" s="291">
        <f t="shared" si="542"/>
        <v>0.10753546894541</v>
      </c>
      <c r="CL220" s="291">
        <f t="shared" si="542"/>
        <v>0.0846697814352366</v>
      </c>
      <c r="CM220" s="556">
        <f t="shared" si="542"/>
        <v>0.0920964829042824</v>
      </c>
      <c r="CN220" s="291">
        <f t="shared" si="542"/>
        <v>0.0485850502777582</v>
      </c>
      <c r="CO220" s="140">
        <f t="shared" si="542"/>
        <v>0.0485850502777582</v>
      </c>
      <c r="CP220" s="291">
        <f t="shared" si="542"/>
        <v>0.078495601101752</v>
      </c>
      <c r="CQ220" s="291">
        <f t="shared" si="542"/>
        <v>0.0794990596996943</v>
      </c>
      <c r="CR220" s="556">
        <f t="shared" si="542"/>
        <v>0.0800159967840876</v>
      </c>
      <c r="CS220" s="291">
        <f t="shared" si="542"/>
        <v>0.0874126102187466</v>
      </c>
      <c r="CT220" s="140">
        <f t="shared" si="542"/>
        <v>0.0874126102187466</v>
      </c>
      <c r="CU220" s="291">
        <f t="shared" si="542"/>
        <v>0.0642764127764128</v>
      </c>
      <c r="CV220" s="291">
        <f t="shared" si="542"/>
        <v>0.0770591507680831</v>
      </c>
      <c r="CW220" s="556">
        <f t="shared" si="542"/>
        <v>0.0921266954500927</v>
      </c>
      <c r="CX220" s="291">
        <f t="shared" si="542"/>
        <v>0.0628645350177136</v>
      </c>
      <c r="CY220" s="140">
        <f t="shared" si="542"/>
        <v>0.0628645350177136</v>
      </c>
      <c r="CZ220" s="291">
        <f t="shared" si="542"/>
        <v>0.0695431690408614</v>
      </c>
      <c r="DA220" s="291">
        <f t="shared" si="542"/>
        <v>0.0837041355111375</v>
      </c>
      <c r="DB220" s="556">
        <f t="shared" si="542"/>
        <v>0.0764717378558555</v>
      </c>
      <c r="DC220" s="291">
        <f t="shared" si="542"/>
        <v>0.0687814052101207</v>
      </c>
      <c r="DD220" s="140">
        <f t="shared" si="542"/>
        <v>0.0687814052101207</v>
      </c>
      <c r="DE220" s="291">
        <f t="shared" si="542"/>
        <v>0.05929485532924</v>
      </c>
      <c r="DF220" s="291">
        <f t="shared" si="542"/>
        <v>0.071202424090581</v>
      </c>
      <c r="DG220" s="557">
        <f t="shared" si="532"/>
        <v>0.0764717378558555</v>
      </c>
      <c r="DH220" s="557">
        <f t="shared" si="532"/>
        <v>0.0687814052101207</v>
      </c>
      <c r="DI220" s="140">
        <f>-DI195/DI$215</f>
        <v>0.0687814052101207</v>
      </c>
      <c r="DJ220" s="557">
        <f t="shared" si="533"/>
        <v>0.05929485532924</v>
      </c>
      <c r="DK220" s="557">
        <f t="shared" si="534"/>
        <v>0.071202424090581</v>
      </c>
      <c r="DL220" s="557">
        <f t="shared" si="535"/>
        <v>0.0764717378558555</v>
      </c>
      <c r="DM220" s="557">
        <f t="shared" si="536"/>
        <v>0.0687814052101207</v>
      </c>
      <c r="DN220" s="140">
        <f>-DN195/DN$215</f>
        <v>0.0687814052101207</v>
      </c>
      <c r="DO220" s="557">
        <f t="shared" si="537"/>
        <v>0.05929485532924</v>
      </c>
      <c r="DP220" s="557">
        <f t="shared" si="538"/>
        <v>0.071202424090581</v>
      </c>
      <c r="DQ220" s="557">
        <f t="shared" si="539"/>
        <v>0.0764717378558555</v>
      </c>
      <c r="DR220" s="557">
        <f t="shared" si="540"/>
        <v>0.0687814052101207</v>
      </c>
      <c r="DS220" s="140">
        <f>-DS195/DS$215</f>
        <v>0.0687814052101207</v>
      </c>
    </row>
    <row r="221" s="4" customFormat="1" spans="1:123">
      <c r="A221" s="345"/>
      <c r="B221" s="38" t="s">
        <v>159</v>
      </c>
      <c r="C221" s="138"/>
      <c r="D221" s="139"/>
      <c r="E221" s="139"/>
      <c r="F221" s="139"/>
      <c r="G221" s="139"/>
      <c r="H221" s="138"/>
      <c r="I221" s="139"/>
      <c r="J221" s="139"/>
      <c r="K221" s="139"/>
      <c r="L221" s="139"/>
      <c r="M221" s="140">
        <f>M197/M$214</f>
        <v>0.021981862840375</v>
      </c>
      <c r="N221" s="139"/>
      <c r="O221" s="139"/>
      <c r="P221" s="139"/>
      <c r="Q221" s="139"/>
      <c r="R221" s="140">
        <f>R197/R$214</f>
        <v>0.0295361424910553</v>
      </c>
      <c r="S221" s="139"/>
      <c r="T221" s="139"/>
      <c r="U221" s="139"/>
      <c r="V221" s="139"/>
      <c r="W221" s="140">
        <f>W197/W$214</f>
        <v>0</v>
      </c>
      <c r="X221" s="139"/>
      <c r="Y221" s="139"/>
      <c r="Z221" s="139"/>
      <c r="AA221" s="139"/>
      <c r="AB221" s="140">
        <f>AB197/AB$214</f>
        <v>0</v>
      </c>
      <c r="AC221" s="139"/>
      <c r="AD221" s="139"/>
      <c r="AE221" s="139"/>
      <c r="AF221" s="139"/>
      <c r="AG221" s="140">
        <f>AG197/AG$214</f>
        <v>0.0255274664748266</v>
      </c>
      <c r="AH221" s="139"/>
      <c r="AI221" s="139"/>
      <c r="AJ221" s="139"/>
      <c r="AK221" s="139"/>
      <c r="AL221" s="140">
        <f t="shared" ref="AL221:CW221" si="543">AL197/AL$214</f>
        <v>0.0227539094699547</v>
      </c>
      <c r="AM221" s="291">
        <f t="shared" si="543"/>
        <v>0.0160962830879913</v>
      </c>
      <c r="AN221" s="291">
        <f t="shared" si="543"/>
        <v>0.0151307445379243</v>
      </c>
      <c r="AO221" s="291">
        <f t="shared" si="543"/>
        <v>0.0140561561745606</v>
      </c>
      <c r="AP221" s="291">
        <f t="shared" si="543"/>
        <v>0.0256232313016015</v>
      </c>
      <c r="AQ221" s="140">
        <f t="shared" si="543"/>
        <v>0.0256232313016015</v>
      </c>
      <c r="AR221" s="291">
        <f t="shared" si="543"/>
        <v>0</v>
      </c>
      <c r="AS221" s="291">
        <f t="shared" si="543"/>
        <v>0</v>
      </c>
      <c r="AT221" s="291">
        <f t="shared" si="543"/>
        <v>0</v>
      </c>
      <c r="AU221" s="291">
        <f t="shared" si="543"/>
        <v>0.0240970897216419</v>
      </c>
      <c r="AV221" s="140">
        <f t="shared" si="543"/>
        <v>0.0240970897216419</v>
      </c>
      <c r="AW221" s="291">
        <f t="shared" si="543"/>
        <v>0.01896843236664</v>
      </c>
      <c r="AX221" s="291">
        <f t="shared" si="543"/>
        <v>0</v>
      </c>
      <c r="AY221" s="291">
        <f t="shared" si="543"/>
        <v>0.0163288714917347</v>
      </c>
      <c r="AZ221" s="291">
        <f t="shared" si="543"/>
        <v>0.0257351304672964</v>
      </c>
      <c r="BA221" s="140">
        <f t="shared" si="543"/>
        <v>0.0257354025371506</v>
      </c>
      <c r="BB221" s="291">
        <f t="shared" si="543"/>
        <v>0.0213630853118305</v>
      </c>
      <c r="BC221" s="291">
        <f t="shared" si="543"/>
        <v>0.0190408867065134</v>
      </c>
      <c r="BD221" s="291">
        <f t="shared" si="543"/>
        <v>0.0179314436131836</v>
      </c>
      <c r="BE221" s="291">
        <f t="shared" si="543"/>
        <v>0.028020070632553</v>
      </c>
      <c r="BF221" s="140">
        <f t="shared" si="543"/>
        <v>0.028020070632553</v>
      </c>
      <c r="BG221" s="291">
        <f t="shared" si="543"/>
        <v>0.0236281913908356</v>
      </c>
      <c r="BH221" s="291">
        <f t="shared" si="543"/>
        <v>0.0210487214021846</v>
      </c>
      <c r="BI221" s="291">
        <f t="shared" si="543"/>
        <v>0.0195565822887926</v>
      </c>
      <c r="BJ221" s="291">
        <f t="shared" si="543"/>
        <v>0.0300521414507471</v>
      </c>
      <c r="BK221" s="140">
        <f t="shared" si="543"/>
        <v>0.0300521414507471</v>
      </c>
      <c r="BL221" s="291">
        <f t="shared" si="543"/>
        <v>0.0250710899073647</v>
      </c>
      <c r="BM221" s="291">
        <f t="shared" si="543"/>
        <v>0.0230609713690055</v>
      </c>
      <c r="BN221" s="291">
        <f t="shared" si="543"/>
        <v>0.0209135434115367</v>
      </c>
      <c r="BO221" s="291">
        <f t="shared" si="543"/>
        <v>0.0312049273798815</v>
      </c>
      <c r="BP221" s="140">
        <f t="shared" si="543"/>
        <v>0.0312051158452367</v>
      </c>
      <c r="BQ221" s="291">
        <f t="shared" si="543"/>
        <v>0.0250162312189322</v>
      </c>
      <c r="BR221" s="291">
        <f t="shared" si="543"/>
        <v>0.0220537739614836</v>
      </c>
      <c r="BS221" s="291">
        <f t="shared" si="543"/>
        <v>0.0208134472563034</v>
      </c>
      <c r="BT221" s="291">
        <f t="shared" si="543"/>
        <v>0.0302318601084627</v>
      </c>
      <c r="BU221" s="140">
        <f t="shared" si="543"/>
        <v>0.0302318601084627</v>
      </c>
      <c r="BV221" s="291">
        <f t="shared" si="543"/>
        <v>0.0249099074870912</v>
      </c>
      <c r="BW221" s="291">
        <f t="shared" si="543"/>
        <v>0.0222378923027944</v>
      </c>
      <c r="BX221" s="291">
        <f t="shared" si="543"/>
        <v>0.020010599416472</v>
      </c>
      <c r="BY221" s="291">
        <f t="shared" si="543"/>
        <v>0.0302598751135879</v>
      </c>
      <c r="BZ221" s="140">
        <f t="shared" si="543"/>
        <v>0.0302598751135879</v>
      </c>
      <c r="CA221" s="291">
        <f t="shared" si="543"/>
        <v>0.0273545230469768</v>
      </c>
      <c r="CB221" s="291">
        <f t="shared" si="543"/>
        <v>0.0275104283716851</v>
      </c>
      <c r="CC221" s="291">
        <f t="shared" si="543"/>
        <v>0.0257406898239505</v>
      </c>
      <c r="CD221" s="291">
        <f t="shared" si="543"/>
        <v>0.0354048724635838</v>
      </c>
      <c r="CE221" s="140">
        <f t="shared" si="543"/>
        <v>0.0354048724635837</v>
      </c>
      <c r="CF221" s="291">
        <f t="shared" si="543"/>
        <v>0.0283637734475019</v>
      </c>
      <c r="CG221" s="291">
        <f t="shared" si="543"/>
        <v>0.0248044056010263</v>
      </c>
      <c r="CH221" s="556">
        <f t="shared" si="543"/>
        <v>0.0235026004540849</v>
      </c>
      <c r="CI221" s="291">
        <f t="shared" si="543"/>
        <v>0.0332759700649728</v>
      </c>
      <c r="CJ221" s="140">
        <f t="shared" si="543"/>
        <v>0.0332759700649728</v>
      </c>
      <c r="CK221" s="291">
        <f t="shared" si="543"/>
        <v>0.0276822181899463</v>
      </c>
      <c r="CL221" s="291">
        <f t="shared" si="543"/>
        <v>0.0244523513646518</v>
      </c>
      <c r="CM221" s="556">
        <f t="shared" si="543"/>
        <v>0.0229865771587402</v>
      </c>
      <c r="CN221" s="291">
        <f t="shared" si="543"/>
        <v>0.0310064042765209</v>
      </c>
      <c r="CO221" s="140">
        <f t="shared" si="543"/>
        <v>0.0310064042765209</v>
      </c>
      <c r="CP221" s="291">
        <f t="shared" si="543"/>
        <v>0.0263560876066608</v>
      </c>
      <c r="CQ221" s="291">
        <f t="shared" si="543"/>
        <v>0.0244511513252425</v>
      </c>
      <c r="CR221" s="556">
        <f t="shared" si="543"/>
        <v>0.0232152948183287</v>
      </c>
      <c r="CS221" s="291">
        <f t="shared" si="543"/>
        <v>0.0318609151331316</v>
      </c>
      <c r="CT221" s="140">
        <f t="shared" si="543"/>
        <v>0.0318609151331316</v>
      </c>
      <c r="CU221" s="291">
        <f t="shared" si="543"/>
        <v>0.0273008759102251</v>
      </c>
      <c r="CV221" s="291">
        <f t="shared" si="543"/>
        <v>0.0251022845467496</v>
      </c>
      <c r="CW221" s="556">
        <f t="shared" si="543"/>
        <v>0.0234073141976237</v>
      </c>
      <c r="CX221" s="291">
        <f t="shared" ref="CX221:DF221" si="544">CX197/CX$214</f>
        <v>0.0291224339415681</v>
      </c>
      <c r="CY221" s="140">
        <f t="shared" si="544"/>
        <v>0.0291224339415681</v>
      </c>
      <c r="CZ221" s="291">
        <f t="shared" si="544"/>
        <v>0.0252166183948773</v>
      </c>
      <c r="DA221" s="291">
        <f t="shared" si="544"/>
        <v>0.0231413395920556</v>
      </c>
      <c r="DB221" s="556">
        <f t="shared" si="544"/>
        <v>0.0229198244136163</v>
      </c>
      <c r="DC221" s="291">
        <f t="shared" si="544"/>
        <v>0.0285187253436132</v>
      </c>
      <c r="DD221" s="140">
        <f t="shared" si="544"/>
        <v>0.0285187253436132</v>
      </c>
      <c r="DE221" s="291">
        <f t="shared" si="544"/>
        <v>0.026452435626837</v>
      </c>
      <c r="DF221" s="291">
        <f t="shared" si="544"/>
        <v>0.024997216952836</v>
      </c>
      <c r="DG221" s="557">
        <f t="shared" si="532"/>
        <v>0.0229198244136163</v>
      </c>
      <c r="DH221" s="557">
        <f t="shared" si="532"/>
        <v>0.0285187253436132</v>
      </c>
      <c r="DI221" s="140">
        <f>DI197/DI$214</f>
        <v>0.0285187253436132</v>
      </c>
      <c r="DJ221" s="557">
        <f t="shared" si="533"/>
        <v>0.026452435626837</v>
      </c>
      <c r="DK221" s="557">
        <f t="shared" si="534"/>
        <v>0.024997216952836</v>
      </c>
      <c r="DL221" s="557">
        <f t="shared" si="535"/>
        <v>0.0229198244136163</v>
      </c>
      <c r="DM221" s="557">
        <f t="shared" si="536"/>
        <v>0.0285187253436132</v>
      </c>
      <c r="DN221" s="140">
        <f>DN197/DN$214</f>
        <v>0.0285187253436132</v>
      </c>
      <c r="DO221" s="557">
        <f t="shared" si="537"/>
        <v>0.026452435626837</v>
      </c>
      <c r="DP221" s="557">
        <f t="shared" si="538"/>
        <v>0.024997216952836</v>
      </c>
      <c r="DQ221" s="557">
        <f t="shared" si="539"/>
        <v>0.0229198244136163</v>
      </c>
      <c r="DR221" s="557">
        <f t="shared" si="540"/>
        <v>0.0285187253436132</v>
      </c>
      <c r="DS221" s="140">
        <f>DS197/DS$214</f>
        <v>0.0285187253436132</v>
      </c>
    </row>
    <row r="222" s="4" customFormat="1" ht="16.8" spans="1:123">
      <c r="A222" s="345"/>
      <c r="B222" s="635" t="s">
        <v>160</v>
      </c>
      <c r="C222" s="138"/>
      <c r="D222" s="139"/>
      <c r="E222" s="139"/>
      <c r="F222" s="139"/>
      <c r="G222" s="139"/>
      <c r="H222" s="138"/>
      <c r="I222" s="139"/>
      <c r="J222" s="139"/>
      <c r="K222" s="139"/>
      <c r="L222" s="139"/>
      <c r="M222" s="138"/>
      <c r="N222" s="139"/>
      <c r="O222" s="139"/>
      <c r="P222" s="139"/>
      <c r="Q222" s="139"/>
      <c r="R222" s="138"/>
      <c r="S222" s="139"/>
      <c r="T222" s="139"/>
      <c r="U222" s="139"/>
      <c r="V222" s="139"/>
      <c r="W222" s="138"/>
      <c r="X222" s="139"/>
      <c r="Y222" s="139"/>
      <c r="Z222" s="139"/>
      <c r="AA222" s="139"/>
      <c r="AB222" s="138"/>
      <c r="AC222" s="139"/>
      <c r="AD222" s="139"/>
      <c r="AE222" s="139"/>
      <c r="AF222" s="139"/>
      <c r="AG222" s="138"/>
      <c r="AH222" s="139"/>
      <c r="AI222" s="139"/>
      <c r="AJ222" s="139"/>
      <c r="AK222" s="139"/>
      <c r="AL222" s="138"/>
      <c r="AM222" s="139"/>
      <c r="AN222" s="139"/>
      <c r="AO222" s="139"/>
      <c r="AP222" s="291">
        <f>(4*AP90)/AP180</f>
        <v>0.157167896648856</v>
      </c>
      <c r="AQ222" s="140">
        <f>AQ90/AQ180</f>
        <v>0.14035179340216</v>
      </c>
      <c r="AR222" s="291">
        <f>(4*AR90)/AR180</f>
        <v>0.143763731802011</v>
      </c>
      <c r="AS222" s="291">
        <f>(4*AS90)/AS180</f>
        <v>0.140305226015363</v>
      </c>
      <c r="AT222" s="291">
        <f>(4*AT90)/AT180</f>
        <v>0.138850740291817</v>
      </c>
      <c r="AU222" s="291">
        <f>(4*AU90)/AU180</f>
        <v>0.131820608649226</v>
      </c>
      <c r="AV222" s="140">
        <f>AV90/AV180</f>
        <v>0.130987720234917</v>
      </c>
      <c r="AW222" s="291">
        <f>(4*AW90)/AW180</f>
        <v>0.123725569537295</v>
      </c>
      <c r="AX222" s="291">
        <f>(4*AX90)/AX180</f>
        <v>0.126578224962466</v>
      </c>
      <c r="AY222" s="291">
        <f>(4*AY90)/AY180</f>
        <v>0.13500898287093</v>
      </c>
      <c r="AZ222" s="291">
        <f>(4*AZ90)/AZ180</f>
        <v>0.146784382071242</v>
      </c>
      <c r="BA222" s="140">
        <f>BA90/BA180</f>
        <v>0.128593870837676</v>
      </c>
      <c r="BB222" s="291">
        <f>(4*BB90)/BB180</f>
        <v>0.13185687925339</v>
      </c>
      <c r="BC222" s="291">
        <f>(4*BC90)/BC180</f>
        <v>0.129735652437449</v>
      </c>
      <c r="BD222" s="291">
        <f>(4*BD90)/BD180</f>
        <v>0.141507706558384</v>
      </c>
      <c r="BE222" s="291">
        <f>(4*BE90)/BE180</f>
        <v>0.15095607926188</v>
      </c>
      <c r="BF222" s="140">
        <f>BF90/BF180</f>
        <v>0.132602465459355</v>
      </c>
      <c r="BG222" s="291">
        <f>(4*BG90)/BG180</f>
        <v>0.127729906341389</v>
      </c>
      <c r="BH222" s="291">
        <f>(4*BH90)/BH180</f>
        <v>0.128414675783954</v>
      </c>
      <c r="BI222" s="291">
        <f>(4*BI90)/BI180</f>
        <v>0.143654624494079</v>
      </c>
      <c r="BJ222" s="291">
        <f>(4*BJ90)/BJ180</f>
        <v>0.137105599124567</v>
      </c>
      <c r="BK222" s="140">
        <f>BK90/BK180</f>
        <v>0.124955829381725</v>
      </c>
      <c r="BL222" s="291">
        <f>(4*BL90)/BL180</f>
        <v>0.132299331306644</v>
      </c>
      <c r="BM222" s="291">
        <f>(4*BM90)/BM180</f>
        <v>0.150126510361958</v>
      </c>
      <c r="BN222" s="291">
        <f>(4*BN90)/BN180</f>
        <v>0.143004317418512</v>
      </c>
      <c r="BO222" s="291">
        <f>(4*BO90)/BO180</f>
        <v>0.137546950510797</v>
      </c>
      <c r="BP222" s="140">
        <f>BP90/BP180</f>
        <v>0.132421851104178</v>
      </c>
      <c r="BQ222" s="291">
        <f>(4*BQ90)/BQ180</f>
        <v>0.127075514124709</v>
      </c>
      <c r="BR222" s="291">
        <f>(4*BR90)/BR180</f>
        <v>0.12927280662875</v>
      </c>
      <c r="BS222" s="291">
        <f>(4*BS90)/BS180</f>
        <v>0.13174052280856</v>
      </c>
      <c r="BT222" s="291">
        <f>(4*BT90)/BT180</f>
        <v>0.145479448955815</v>
      </c>
      <c r="BU222" s="140">
        <f>BU90/BU180</f>
        <v>0.125950018560774</v>
      </c>
      <c r="BV222" s="291">
        <f>(4*BV90)/BV180</f>
        <v>0.129504705558586</v>
      </c>
      <c r="BW222" s="291">
        <f>(4*BW90)/BW180</f>
        <v>0.140116624105731</v>
      </c>
      <c r="BX222" s="291">
        <f>(4*BX90)/BX180</f>
        <v>0.153721787379812</v>
      </c>
      <c r="BY222" s="291">
        <f>(4*BY90)/BY180</f>
        <v>0.159176248084205</v>
      </c>
      <c r="BZ222" s="140">
        <f>BZ90/BZ180</f>
        <v>0.135693989034406</v>
      </c>
      <c r="CA222" s="291">
        <f>(4*CA90)/CA180</f>
        <v>0.144967859940773</v>
      </c>
      <c r="CB222" s="291">
        <f>(4*CB90)/CB180</f>
        <v>0.125893717936308</v>
      </c>
      <c r="CC222" s="291">
        <f>(4*CC90)/CC180</f>
        <v>0.144762140949192</v>
      </c>
      <c r="CD222" s="291">
        <f>(4*CD90)/CD180</f>
        <v>0.145568324706846</v>
      </c>
      <c r="CE222" s="140">
        <f>CE90/CE180</f>
        <v>0.129138312049094</v>
      </c>
      <c r="CF222" s="291">
        <f>(4*CF90)/CF180</f>
        <v>0.133247114870705</v>
      </c>
      <c r="CG222" s="291">
        <f>(4*CG90)/CG180</f>
        <v>0.138668279870116</v>
      </c>
      <c r="CH222" s="556">
        <f>(4*CH90)/CH180</f>
        <v>0.136883072105496</v>
      </c>
      <c r="CI222" s="291">
        <f>(4*CI90)/CI180</f>
        <v>0.141435437637035</v>
      </c>
      <c r="CJ222" s="140">
        <f>CJ90/CJ180</f>
        <v>0.127618616109342</v>
      </c>
      <c r="CK222" s="291">
        <f>(4*CK90)/CK180</f>
        <v>0.139739411033171</v>
      </c>
      <c r="CL222" s="291">
        <f>(4*CL90)/CL180</f>
        <v>0.137072781914403</v>
      </c>
      <c r="CM222" s="556">
        <f>(4*CM90)/CM180</f>
        <v>0.141093461857121</v>
      </c>
      <c r="CN222" s="291">
        <f>(4*CN90)/CN180</f>
        <v>0.14207377159588</v>
      </c>
      <c r="CO222" s="140">
        <f>CO90/CO180</f>
        <v>0.129287717022197</v>
      </c>
      <c r="CP222" s="291">
        <f>(4*CP90)/CP180</f>
        <v>0.143998123758338</v>
      </c>
      <c r="CQ222" s="291">
        <f>(4*CQ90)/CQ180</f>
        <v>0.152895962631901</v>
      </c>
      <c r="CR222" s="556">
        <f>(4*CR90)/CR180</f>
        <v>0.154401946395327</v>
      </c>
      <c r="CS222" s="291">
        <f>(4*CS90)/CS180</f>
        <v>0.14952034498682</v>
      </c>
      <c r="CT222" s="140">
        <f>CT90/CT180</f>
        <v>0.137296995262077</v>
      </c>
      <c r="CU222" s="291">
        <f>(4*CU90)/CU180</f>
        <v>0.134669021336529</v>
      </c>
      <c r="CV222" s="291">
        <f>(4*CV90)/CV180</f>
        <v>0.139278835696547</v>
      </c>
      <c r="CW222" s="556">
        <f>(4*CW90)/CW180</f>
        <v>0.145440322532118</v>
      </c>
      <c r="CX222" s="291">
        <f>(4*CX90)/CX180</f>
        <v>0.164844866806142</v>
      </c>
      <c r="CY222" s="140">
        <f>CY90/CY180</f>
        <v>0.137745221130123</v>
      </c>
      <c r="CZ222" s="291">
        <f>(4*CZ90)/CZ180</f>
        <v>0.134351290105656</v>
      </c>
      <c r="DA222" s="291">
        <f>(4*DA90)/DA180</f>
        <v>0.133953822492583</v>
      </c>
      <c r="DB222" s="556">
        <f>(4*DB90)/DB180</f>
        <v>0.138110795069755</v>
      </c>
      <c r="DC222" s="291">
        <f>(4*DC90)/DC180</f>
        <v>0.138095812470968</v>
      </c>
      <c r="DD222" s="140">
        <f>DD90/DD180</f>
        <v>0.127349951367485</v>
      </c>
      <c r="DE222" s="291">
        <f>(4*DE90)/DE180</f>
        <v>0.135187476666088</v>
      </c>
      <c r="DF222" s="291">
        <f>(4*DF90)/DF180</f>
        <v>0.139923531237688</v>
      </c>
      <c r="DG222" s="291">
        <f>(4*DG90)/DG180</f>
        <v>0.141009294751624</v>
      </c>
      <c r="DH222" s="291">
        <f>(4*DH90)/DH180</f>
        <v>0.141649255929258</v>
      </c>
      <c r="DI222" s="140">
        <f>DI90/DI180</f>
        <v>0.130907766452658</v>
      </c>
      <c r="DJ222" s="291">
        <f>(4*DJ90)/DJ180</f>
        <v>0.138106702623204</v>
      </c>
      <c r="DK222" s="291">
        <f>(4*DK90)/DK180</f>
        <v>0.140166835175982</v>
      </c>
      <c r="DL222" s="291">
        <f>(4*DL90)/DL180</f>
        <v>0.141577046910359</v>
      </c>
      <c r="DM222" s="291">
        <f>(4*DM90)/DM180</f>
        <v>0.142542849868354</v>
      </c>
      <c r="DN222" s="140">
        <f>DN90/DN180</f>
        <v>0.131733597735112</v>
      </c>
      <c r="DO222" s="291">
        <f>(4*DO90)/DO180</f>
        <v>0.13917051712306</v>
      </c>
      <c r="DP222" s="291">
        <f>(4*DP90)/DP180</f>
        <v>0.141461926554343</v>
      </c>
      <c r="DQ222" s="291">
        <f>(4*DQ90)/DQ180</f>
        <v>0.143150999252642</v>
      </c>
      <c r="DR222" s="291">
        <f>(4*DR90)/DR180</f>
        <v>0.144395551073567</v>
      </c>
      <c r="DS222" s="140">
        <f>DS90/DS180</f>
        <v>0.133445805646742</v>
      </c>
    </row>
    <row r="223" s="4" customFormat="1" ht="16.8" spans="1:123">
      <c r="A223" s="345"/>
      <c r="B223" s="635" t="s">
        <v>161</v>
      </c>
      <c r="C223" s="138"/>
      <c r="D223" s="139"/>
      <c r="E223" s="139"/>
      <c r="F223" s="139"/>
      <c r="G223" s="139"/>
      <c r="H223" s="138"/>
      <c r="I223" s="139"/>
      <c r="J223" s="139"/>
      <c r="K223" s="139"/>
      <c r="L223" s="139"/>
      <c r="M223" s="138"/>
      <c r="N223" s="139"/>
      <c r="O223" s="139"/>
      <c r="P223" s="139"/>
      <c r="Q223" s="139"/>
      <c r="R223" s="138"/>
      <c r="S223" s="139"/>
      <c r="T223" s="139"/>
      <c r="U223" s="139"/>
      <c r="V223" s="139"/>
      <c r="W223" s="138"/>
      <c r="X223" s="139"/>
      <c r="Y223" s="139"/>
      <c r="Z223" s="139"/>
      <c r="AA223" s="139"/>
      <c r="AB223" s="138"/>
      <c r="AC223" s="139"/>
      <c r="AD223" s="139"/>
      <c r="AE223" s="139"/>
      <c r="AF223" s="139"/>
      <c r="AG223" s="636">
        <f>AG90/AB90-1</f>
        <v>0.181547619047619</v>
      </c>
      <c r="AH223" s="486"/>
      <c r="AI223" s="486"/>
      <c r="AJ223" s="486"/>
      <c r="AK223" s="486"/>
      <c r="AL223" s="636">
        <f t="shared" ref="AL223:CW223" si="545">AL90/AG90-1</f>
        <v>0.229341025432681</v>
      </c>
      <c r="AM223" s="486">
        <f t="shared" si="545"/>
        <v>0.621916901175302</v>
      </c>
      <c r="AN223" s="486">
        <f t="shared" si="545"/>
        <v>0.287367021276596</v>
      </c>
      <c r="AO223" s="486">
        <f t="shared" si="545"/>
        <v>0.567217142077248</v>
      </c>
      <c r="AP223" s="486">
        <f t="shared" si="545"/>
        <v>0.284601429943443</v>
      </c>
      <c r="AQ223" s="636">
        <f t="shared" si="545"/>
        <v>0.42106480716481</v>
      </c>
      <c r="AR223" s="486">
        <f t="shared" si="545"/>
        <v>0.197081036946315</v>
      </c>
      <c r="AS223" s="486">
        <f t="shared" si="545"/>
        <v>0.247598388596219</v>
      </c>
      <c r="AT223" s="486">
        <f t="shared" si="545"/>
        <v>0.124793172515893</v>
      </c>
      <c r="AU223" s="486">
        <f t="shared" si="545"/>
        <v>0.0255025751786009</v>
      </c>
      <c r="AV223" s="636">
        <f t="shared" si="545"/>
        <v>0.141116279069767</v>
      </c>
      <c r="AW223" s="486">
        <f t="shared" si="545"/>
        <v>0.0623241538068038</v>
      </c>
      <c r="AX223" s="486">
        <f t="shared" si="545"/>
        <v>0.129077661864547</v>
      </c>
      <c r="AY223" s="486">
        <f t="shared" si="545"/>
        <v>0.20873335397956</v>
      </c>
      <c r="AZ223" s="486">
        <f t="shared" si="545"/>
        <v>0.349129202106115</v>
      </c>
      <c r="BA223" s="636">
        <f t="shared" si="545"/>
        <v>0.189451373603978</v>
      </c>
      <c r="BB223" s="486">
        <f t="shared" si="545"/>
        <v>0.291813804173355</v>
      </c>
      <c r="BC223" s="486">
        <f t="shared" si="545"/>
        <v>0.224242868666129</v>
      </c>
      <c r="BD223" s="486">
        <f t="shared" si="545"/>
        <v>0.262298232129131</v>
      </c>
      <c r="BE223" s="486">
        <f t="shared" si="545"/>
        <v>0.253977784449115</v>
      </c>
      <c r="BF223" s="636">
        <f t="shared" si="545"/>
        <v>0.257333287643068</v>
      </c>
      <c r="BG223" s="486">
        <f t="shared" si="545"/>
        <v>0.191911033797217</v>
      </c>
      <c r="BH223" s="486">
        <f t="shared" si="545"/>
        <v>0.227792752321055</v>
      </c>
      <c r="BI223" s="486">
        <f t="shared" si="545"/>
        <v>0.215710153752474</v>
      </c>
      <c r="BJ223" s="486">
        <f t="shared" si="545"/>
        <v>0.1518314579842</v>
      </c>
      <c r="BK223" s="636">
        <f t="shared" si="545"/>
        <v>0.19505880108472</v>
      </c>
      <c r="BL223" s="486">
        <f t="shared" si="545"/>
        <v>0.207349491790461</v>
      </c>
      <c r="BM223" s="486">
        <f t="shared" si="545"/>
        <v>0.385793735974241</v>
      </c>
      <c r="BN223" s="486">
        <f t="shared" si="545"/>
        <v>0.192086150763837</v>
      </c>
      <c r="BO223" s="486">
        <f t="shared" si="545"/>
        <v>0.16835716661124</v>
      </c>
      <c r="BP223" s="636">
        <f t="shared" si="545"/>
        <v>0.234192731792422</v>
      </c>
      <c r="BQ223" s="486">
        <f t="shared" si="545"/>
        <v>0.155852005353365</v>
      </c>
      <c r="BR223" s="486">
        <f t="shared" si="545"/>
        <v>0.00880095754418075</v>
      </c>
      <c r="BS223" s="486">
        <f t="shared" si="545"/>
        <v>0.109453781512605</v>
      </c>
      <c r="BT223" s="486">
        <f t="shared" si="545"/>
        <v>0.258414573400698</v>
      </c>
      <c r="BU223" s="636">
        <f t="shared" si="545"/>
        <v>0.131648727306324</v>
      </c>
      <c r="BV223" s="486">
        <f t="shared" si="545"/>
        <v>0.225973928958279</v>
      </c>
      <c r="BW223" s="486">
        <f t="shared" si="545"/>
        <v>0.312081239530988</v>
      </c>
      <c r="BX223" s="486">
        <f t="shared" si="545"/>
        <v>0.389320204506723</v>
      </c>
      <c r="BY223" s="486">
        <f t="shared" si="545"/>
        <v>0.342672962198535</v>
      </c>
      <c r="BZ223" s="140">
        <f t="shared" si="545"/>
        <v>0.322074719963424</v>
      </c>
      <c r="CA223" s="486">
        <f t="shared" si="545"/>
        <v>0.326265118971453</v>
      </c>
      <c r="CB223" s="486">
        <f t="shared" si="545"/>
        <v>0.0809861964413949</v>
      </c>
      <c r="CC223" s="486">
        <f t="shared" si="545"/>
        <v>0.113829448911908</v>
      </c>
      <c r="CD223" s="486">
        <f t="shared" si="545"/>
        <v>0.100654888500495</v>
      </c>
      <c r="CE223" s="140">
        <f t="shared" si="545"/>
        <v>0.145399640592097</v>
      </c>
      <c r="CF223" s="486">
        <f t="shared" si="545"/>
        <v>0.159721584122025</v>
      </c>
      <c r="CG223" s="486">
        <f t="shared" si="545"/>
        <v>0.319702785158941</v>
      </c>
      <c r="CH223" s="556">
        <f t="shared" si="545"/>
        <v>0.182122244202884</v>
      </c>
      <c r="CI223" s="486">
        <f t="shared" si="545"/>
        <v>0.188467351585069</v>
      </c>
      <c r="CJ223" s="140">
        <f t="shared" si="545"/>
        <v>0.20880104378956</v>
      </c>
      <c r="CK223" s="486">
        <f t="shared" si="545"/>
        <v>0.277012974150738</v>
      </c>
      <c r="CL223" s="486">
        <f t="shared" si="545"/>
        <v>0.267217271337485</v>
      </c>
      <c r="CM223" s="556">
        <f t="shared" si="545"/>
        <v>0.366181874644169</v>
      </c>
      <c r="CN223" s="486">
        <f t="shared" si="545"/>
        <v>0.29043786220219</v>
      </c>
      <c r="CO223" s="140">
        <f t="shared" si="545"/>
        <v>0.301441531448757</v>
      </c>
      <c r="CP223" s="486">
        <f t="shared" si="545"/>
        <v>0.304730882581046</v>
      </c>
      <c r="CQ223" s="486">
        <f t="shared" si="545"/>
        <v>0.383075134984037</v>
      </c>
      <c r="CR223" s="556">
        <f t="shared" si="545"/>
        <v>0.237169773197959</v>
      </c>
      <c r="CS223" s="486">
        <f t="shared" si="545"/>
        <v>0.28851575559492</v>
      </c>
      <c r="CT223" s="140">
        <f t="shared" si="545"/>
        <v>0.300190890054868</v>
      </c>
      <c r="CU223" s="486">
        <f t="shared" si="545"/>
        <v>0.138415996956584</v>
      </c>
      <c r="CV223" s="486">
        <f t="shared" si="545"/>
        <v>0.101734940271676</v>
      </c>
      <c r="CW223" s="556">
        <f t="shared" si="545"/>
        <v>0.159540262736172</v>
      </c>
      <c r="CX223" s="486">
        <f t="shared" ref="CX223:DF223" si="546">CX90/CS90-1</f>
        <v>0.293377868138252</v>
      </c>
      <c r="CY223" s="140">
        <f t="shared" si="546"/>
        <v>0.176971089977437</v>
      </c>
      <c r="CZ223" s="486">
        <f t="shared" si="546"/>
        <v>0.19601290740296</v>
      </c>
      <c r="DA223" s="486">
        <f t="shared" si="546"/>
        <v>0.155851428461085</v>
      </c>
      <c r="DB223" s="556">
        <f t="shared" si="546"/>
        <v>0.122008116268629</v>
      </c>
      <c r="DC223" s="486">
        <f t="shared" si="546"/>
        <v>0.00697641343483579</v>
      </c>
      <c r="DD223" s="140">
        <f t="shared" si="546"/>
        <v>0.1113131656977</v>
      </c>
      <c r="DE223" s="486">
        <f t="shared" si="546"/>
        <v>0.181665778973011</v>
      </c>
      <c r="DF223" s="486">
        <f t="shared" si="546"/>
        <v>0.18892369377271</v>
      </c>
      <c r="DG223" s="557">
        <v>0.18</v>
      </c>
      <c r="DH223" s="557">
        <v>0.18</v>
      </c>
      <c r="DI223" s="140">
        <f>DI90/DD90-1</f>
        <v>0.182537301401775</v>
      </c>
      <c r="DJ223" s="557">
        <v>0.18</v>
      </c>
      <c r="DK223" s="557">
        <v>0.18</v>
      </c>
      <c r="DL223" s="557">
        <v>0.18</v>
      </c>
      <c r="DM223" s="557">
        <v>0.18</v>
      </c>
      <c r="DN223" s="140">
        <f>DN90/DI90-1</f>
        <v>0.18</v>
      </c>
      <c r="DO223" s="557">
        <v>0.18</v>
      </c>
      <c r="DP223" s="557">
        <v>0.18</v>
      </c>
      <c r="DQ223" s="557">
        <v>0.18</v>
      </c>
      <c r="DR223" s="557">
        <v>0.18</v>
      </c>
      <c r="DS223" s="140">
        <f>DS90/DN90-1</f>
        <v>0.18</v>
      </c>
    </row>
    <row r="224" s="4" customFormat="1" spans="1:123">
      <c r="A224" s="3"/>
      <c r="B224" s="144" t="s">
        <v>162</v>
      </c>
      <c r="C224" s="636"/>
      <c r="D224" s="486"/>
      <c r="E224" s="486"/>
      <c r="F224" s="486"/>
      <c r="G224" s="486"/>
      <c r="H224" s="636"/>
      <c r="I224" s="486"/>
      <c r="J224" s="486"/>
      <c r="K224" s="486"/>
      <c r="L224" s="486"/>
      <c r="M224" s="636"/>
      <c r="N224" s="486"/>
      <c r="O224" s="486"/>
      <c r="P224" s="486"/>
      <c r="Q224" s="486"/>
      <c r="R224" s="636"/>
      <c r="S224" s="486"/>
      <c r="T224" s="486"/>
      <c r="U224" s="486"/>
      <c r="V224" s="486"/>
      <c r="W224" s="636"/>
      <c r="X224" s="486"/>
      <c r="Y224" s="486"/>
      <c r="Z224" s="486"/>
      <c r="AA224" s="486"/>
      <c r="AB224" s="636"/>
      <c r="AC224" s="486"/>
      <c r="AD224" s="486"/>
      <c r="AE224" s="486"/>
      <c r="AF224" s="486"/>
      <c r="AG224" s="636"/>
      <c r="AH224" s="486"/>
      <c r="AI224" s="486">
        <f>AI90/AH90-1</f>
        <v>0.244827015394802</v>
      </c>
      <c r="AJ224" s="486">
        <f>AJ90/AI90-1</f>
        <v>-0.025664893617021</v>
      </c>
      <c r="AK224" s="486">
        <f>AK90/AJ90-1</f>
        <v>0.278968199808926</v>
      </c>
      <c r="AL224" s="636"/>
      <c r="AM224" s="486">
        <f>AM90/AK90-1</f>
        <v>0.045566108206168</v>
      </c>
      <c r="AN224" s="486">
        <f>AN90/AM90-1</f>
        <v>-0.0119412124923455</v>
      </c>
      <c r="AO224" s="486">
        <f>AO90/AN90-1</f>
        <v>0.186137795682264</v>
      </c>
      <c r="AP224" s="486">
        <f>AP90/AO90-1</f>
        <v>0.0483323173386745</v>
      </c>
      <c r="AQ224" s="636"/>
      <c r="AR224" s="486">
        <f>AR90/AP90-1</f>
        <v>-0.0256687157335106</v>
      </c>
      <c r="AS224" s="486">
        <f>AS90/AR90-1</f>
        <v>0.0297553073578309</v>
      </c>
      <c r="AT224" s="486">
        <f>AT90/AS90-1</f>
        <v>0.0693823480708728</v>
      </c>
      <c r="AU224" s="486">
        <f>AU90/AT90-1</f>
        <v>-0.0442087333539797</v>
      </c>
      <c r="AV224" s="636"/>
      <c r="AW224" s="486">
        <f>AW90/AU90-1</f>
        <v>0.00931551235317962</v>
      </c>
      <c r="AX224" s="486">
        <f>AX90/AW90-1</f>
        <v>0.09446227929374</v>
      </c>
      <c r="AY224" s="486">
        <f>AY90/AX90-1</f>
        <v>0.144826574759845</v>
      </c>
      <c r="AZ224" s="486">
        <f>AZ90/AY90-1</f>
        <v>0.0668075839098126</v>
      </c>
      <c r="BA224" s="636"/>
      <c r="BB224" s="486">
        <f>BB90/AZ90-1</f>
        <v>-0.033563494446112</v>
      </c>
      <c r="BC224" s="486">
        <f>BC90/BB90-1</f>
        <v>0.0372142147117294</v>
      </c>
      <c r="BD224" s="486">
        <f>BD90/BC90-1</f>
        <v>0.18041329739443</v>
      </c>
      <c r="BE224" s="486">
        <f>BE90/BD90-1</f>
        <v>0.0597757142132236</v>
      </c>
      <c r="BF224" s="636"/>
      <c r="BG224" s="486">
        <f>BG90/BE90-1</f>
        <v>-0.0813981326310749</v>
      </c>
      <c r="BH224" s="486">
        <f>BH90/BG90-1</f>
        <v>0.0684388845452177</v>
      </c>
      <c r="BI224" s="486">
        <f>BI90/BH90-1</f>
        <v>0.168796955800566</v>
      </c>
      <c r="BJ224" s="486">
        <f>BJ90/BI90-1</f>
        <v>0.00409049169379783</v>
      </c>
      <c r="BK224" s="636"/>
      <c r="BL224" s="486">
        <f>BL90/BJ90-1</f>
        <v>-0.0371217159960094</v>
      </c>
      <c r="BM224" s="486">
        <f>BM90/BL90-1</f>
        <v>0.226352372317921</v>
      </c>
      <c r="BN224" s="486">
        <f>BN90/BM90-1</f>
        <v>0.0054213898472153</v>
      </c>
      <c r="BO224" s="486">
        <f>BO90/BN90-1</f>
        <v>-0.0158963585434176</v>
      </c>
      <c r="BP224" s="636"/>
      <c r="BQ224" s="486">
        <f>BQ90/BO90-1</f>
        <v>-0.0474275955312031</v>
      </c>
      <c r="BR224" s="486">
        <f>BR90/BQ90-1</f>
        <v>0.0703320509468495</v>
      </c>
      <c r="BS224" s="486">
        <f>BS90/BR90-1</f>
        <v>0.10573701842546</v>
      </c>
      <c r="BT224" s="486">
        <f>BT90/BS90-1</f>
        <v>0.116234299059522</v>
      </c>
      <c r="BU224" s="636"/>
      <c r="BV224" s="486">
        <f>BV90/BT90-1</f>
        <v>-0.0719839407390652</v>
      </c>
      <c r="BW224" s="486">
        <f>BW90/BV90-1</f>
        <v>0.145507723242848</v>
      </c>
      <c r="BX224" s="486">
        <f>BX90/BW90-1</f>
        <v>0.170829011409878</v>
      </c>
      <c r="BY224" s="486">
        <f>BY90/BX90-1</f>
        <v>0.0787560765072006</v>
      </c>
      <c r="BZ224" s="636"/>
      <c r="CA224" s="486">
        <f>CA90/BY90-1</f>
        <v>-0.0833245593716438</v>
      </c>
      <c r="CB224" s="486">
        <f>CB90/BZ90-1</f>
        <v>-0.749007305490542</v>
      </c>
      <c r="CC224" s="486">
        <f>CC90/CA90-1</f>
        <v>0.126366810622071</v>
      </c>
      <c r="CD224" s="486">
        <f>CD90/CB90-1</f>
        <v>0.286020076764098</v>
      </c>
      <c r="CE224" s="636"/>
      <c r="CF224" s="486">
        <f>CF90/CD90-1</f>
        <v>-0.0341311293500929</v>
      </c>
      <c r="CG224" s="486">
        <f>CG90/CE90-1</f>
        <v>-0.710812063964459</v>
      </c>
      <c r="CH224" s="637">
        <f>CH90/CF90-1</f>
        <v>0.14812320491235</v>
      </c>
      <c r="CI224" s="486">
        <f>CI90/CG90-1</f>
        <v>0.158134158618889</v>
      </c>
      <c r="CJ224" s="636"/>
      <c r="CK224" s="486">
        <f>CK90/CI90-1</f>
        <v>0.0378300064391504</v>
      </c>
      <c r="CL224" s="486">
        <f>CL90/CJ90-1</f>
        <v>-0.696836837551181</v>
      </c>
      <c r="CM224" s="637">
        <f>CM90/CK90-1</f>
        <v>0.228292228943695</v>
      </c>
      <c r="CN224" s="486">
        <f>CN90/CL90-1</f>
        <v>0.179355901781642</v>
      </c>
      <c r="CO224" s="636"/>
      <c r="CP224" s="486">
        <f>CP90/CN90-1</f>
        <v>0.0493251166388062</v>
      </c>
      <c r="CQ224" s="486">
        <f>CQ90/CO90-1</f>
        <v>-0.677820768975054</v>
      </c>
      <c r="CR224" s="637">
        <f>CR90/CP90-1</f>
        <v>0.164689238670408</v>
      </c>
      <c r="CS224" s="486">
        <f>CS90/CQ90-1</f>
        <v>0.098724590198811</v>
      </c>
      <c r="CT224" s="636"/>
      <c r="CU224" s="486">
        <f>CU90/CS90-1</f>
        <v>-0.0729112208345437</v>
      </c>
      <c r="CV224" s="486">
        <f>CV90/CU90-1</f>
        <v>0.0816006850531019</v>
      </c>
      <c r="CW224" s="486">
        <f>CW90/CV90-1</f>
        <v>0.0968012899114634</v>
      </c>
      <c r="CX224" s="486">
        <f>CX90/CV90-1</f>
        <v>0.289843878230813</v>
      </c>
      <c r="CY224" s="636"/>
      <c r="CZ224" s="486">
        <f>CZ90/CX90-1</f>
        <v>-0.142702087684235</v>
      </c>
      <c r="DA224" s="486">
        <f>DA90/CZ90-1</f>
        <v>0.0452811078416822</v>
      </c>
      <c r="DB224" s="486">
        <f>DB90/DA90-1</f>
        <v>0.0646869648749111</v>
      </c>
      <c r="DC224" s="486">
        <f>DC90/DA90-1</f>
        <v>0.123710479054421</v>
      </c>
      <c r="DD224" s="636"/>
      <c r="DE224" s="486">
        <f>DE90/DC90-1</f>
        <v>0.00602118565322418</v>
      </c>
      <c r="DF224" s="486">
        <f>DF90/DE90-1</f>
        <v>0.0517013337274168</v>
      </c>
      <c r="DG224" s="486">
        <f>DG90/DF90-1</f>
        <v>0.0566957535901975</v>
      </c>
      <c r="DH224" s="486">
        <f>DH90/DG90-1</f>
        <v>0.0554374347829503</v>
      </c>
      <c r="DI224" s="636"/>
      <c r="DJ224" s="486">
        <f>DJ90/DH90-1</f>
        <v>0.00602118565322418</v>
      </c>
      <c r="DK224" s="486">
        <f>DK90/DJ90-1</f>
        <v>0.0517013337274168</v>
      </c>
      <c r="DL224" s="486">
        <f>DL90/DK90-1</f>
        <v>0.0566957535901975</v>
      </c>
      <c r="DM224" s="486">
        <f>DM90/DL90-1</f>
        <v>0.0554374347829503</v>
      </c>
      <c r="DN224" s="636"/>
      <c r="DO224" s="486">
        <f>DO90/DM90-1</f>
        <v>0.00602118565322418</v>
      </c>
      <c r="DP224" s="486">
        <f>DP90/DO90-1</f>
        <v>0.0517013337274168</v>
      </c>
      <c r="DQ224" s="486">
        <f>DQ90/DP90-1</f>
        <v>0.0566957535901975</v>
      </c>
      <c r="DR224" s="486">
        <f>DR90/DQ90-1</f>
        <v>0.0554374347829503</v>
      </c>
      <c r="DS224" s="636"/>
    </row>
    <row r="225" spans="1:123">
      <c r="A225" s="132"/>
      <c r="B225" s="227"/>
      <c r="C225" s="131"/>
      <c r="D225" s="132"/>
      <c r="E225" s="132"/>
      <c r="F225" s="132"/>
      <c r="G225" s="132"/>
      <c r="H225" s="131"/>
      <c r="I225" s="132"/>
      <c r="J225" s="132"/>
      <c r="K225" s="132"/>
      <c r="L225" s="132"/>
      <c r="M225" s="131"/>
      <c r="N225" s="190"/>
      <c r="O225" s="190"/>
      <c r="P225" s="190"/>
      <c r="Q225" s="190"/>
      <c r="R225" s="131"/>
      <c r="S225" s="190"/>
      <c r="T225" s="190"/>
      <c r="U225" s="190"/>
      <c r="V225" s="190"/>
      <c r="W225" s="131"/>
      <c r="X225" s="190"/>
      <c r="Y225" s="190"/>
      <c r="Z225" s="190"/>
      <c r="AA225" s="190"/>
      <c r="AB225" s="131"/>
      <c r="AC225" s="190"/>
      <c r="AD225" s="190"/>
      <c r="AE225" s="190"/>
      <c r="AF225" s="190"/>
      <c r="AG225" s="131"/>
      <c r="AH225" s="132"/>
      <c r="AI225" s="132"/>
      <c r="AJ225" s="132"/>
      <c r="AK225" s="132"/>
      <c r="AL225" s="131"/>
      <c r="AM225" s="132"/>
      <c r="AN225" s="132"/>
      <c r="AO225" s="132"/>
      <c r="AP225" s="132"/>
      <c r="AQ225" s="131"/>
      <c r="AR225" s="132"/>
      <c r="AS225" s="132"/>
      <c r="AT225" s="132"/>
      <c r="AU225" s="132"/>
      <c r="AV225" s="131"/>
      <c r="AW225" s="132"/>
      <c r="AX225" s="132"/>
      <c r="AY225" s="132"/>
      <c r="AZ225" s="132"/>
      <c r="BA225" s="131"/>
      <c r="BB225" s="132"/>
      <c r="BC225" s="132"/>
      <c r="BD225" s="132"/>
      <c r="BE225" s="132"/>
      <c r="BF225" s="131"/>
      <c r="BG225" s="132"/>
      <c r="BH225" s="132"/>
      <c r="BI225" s="132"/>
      <c r="BJ225" s="132"/>
      <c r="BK225" s="131"/>
      <c r="BL225" s="132"/>
      <c r="BM225" s="132"/>
      <c r="BN225" s="132"/>
      <c r="BO225" s="132"/>
      <c r="BP225" s="131"/>
      <c r="BQ225" s="190"/>
      <c r="BR225" s="190"/>
      <c r="BS225" s="190"/>
      <c r="BT225" s="190"/>
      <c r="BU225" s="628"/>
      <c r="BV225" s="190"/>
      <c r="BW225" s="190"/>
      <c r="BX225" s="190"/>
      <c r="BY225" s="190"/>
      <c r="BZ225" s="628"/>
      <c r="CA225" s="190"/>
      <c r="CB225" s="190"/>
      <c r="CC225" s="190"/>
      <c r="CD225" s="190"/>
      <c r="CE225" s="628"/>
      <c r="CF225" s="190"/>
      <c r="CG225" s="190"/>
      <c r="CH225" s="190"/>
      <c r="CI225" s="190"/>
      <c r="CJ225" s="628"/>
      <c r="CK225" s="190"/>
      <c r="CL225" s="190"/>
      <c r="CM225" s="190"/>
      <c r="CN225" s="190"/>
      <c r="CO225" s="628"/>
      <c r="CP225" s="190"/>
      <c r="CQ225" s="190"/>
      <c r="CR225" s="190"/>
      <c r="CS225" s="190"/>
      <c r="CT225" s="628"/>
      <c r="CU225" s="190"/>
      <c r="CV225" s="190"/>
      <c r="CW225" s="190"/>
      <c r="CX225" s="190"/>
      <c r="CY225" s="628"/>
      <c r="CZ225" s="190"/>
      <c r="DA225" s="190"/>
      <c r="DB225" s="190"/>
      <c r="DC225" s="190"/>
      <c r="DD225" s="628"/>
      <c r="DE225" s="190"/>
      <c r="DF225" s="190"/>
      <c r="DG225" s="190"/>
      <c r="DH225" s="190"/>
      <c r="DI225" s="628"/>
      <c r="DJ225" s="190"/>
      <c r="DK225" s="190"/>
      <c r="DL225" s="190"/>
      <c r="DM225" s="190"/>
      <c r="DN225" s="628"/>
      <c r="DO225" s="190"/>
      <c r="DP225" s="190"/>
      <c r="DQ225" s="190"/>
      <c r="DR225" s="190"/>
      <c r="DS225" s="628"/>
    </row>
    <row r="226" spans="1:123">
      <c r="A226" s="132"/>
      <c r="B226" s="184" t="s">
        <v>163</v>
      </c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  <c r="AI226" s="117"/>
      <c r="AJ226" s="117"/>
      <c r="AK226" s="117"/>
      <c r="AL226" s="117"/>
      <c r="AM226" s="117"/>
      <c r="AN226" s="117"/>
      <c r="AO226" s="117"/>
      <c r="AP226" s="117"/>
      <c r="AQ226" s="117"/>
      <c r="AR226" s="117"/>
      <c r="AS226" s="117"/>
      <c r="AT226" s="117"/>
      <c r="AU226" s="117"/>
      <c r="AV226" s="117"/>
      <c r="AW226" s="117"/>
      <c r="AX226" s="117"/>
      <c r="AY226" s="117"/>
      <c r="AZ226" s="117"/>
      <c r="BA226" s="117"/>
      <c r="BB226" s="117"/>
      <c r="BC226" s="117"/>
      <c r="BD226" s="117"/>
      <c r="BE226" s="117"/>
      <c r="BF226" s="117"/>
      <c r="BG226" s="117"/>
      <c r="BH226" s="117"/>
      <c r="BI226" s="117"/>
      <c r="BJ226" s="117"/>
      <c r="BK226" s="117"/>
      <c r="BL226" s="117"/>
      <c r="BM226" s="117"/>
      <c r="BN226" s="117"/>
      <c r="BO226" s="117"/>
      <c r="BP226" s="117"/>
      <c r="BQ226" s="117"/>
      <c r="BR226" s="117"/>
      <c r="BS226" s="117"/>
      <c r="BT226" s="117"/>
      <c r="BU226" s="117"/>
      <c r="BV226" s="117"/>
      <c r="BW226" s="117"/>
      <c r="BX226" s="117"/>
      <c r="BY226" s="117"/>
      <c r="BZ226" s="117"/>
      <c r="CA226" s="117"/>
      <c r="CB226" s="117"/>
      <c r="CC226" s="117"/>
      <c r="CD226" s="117"/>
      <c r="CE226" s="117"/>
      <c r="CF226" s="117"/>
      <c r="CG226" s="117"/>
      <c r="CH226" s="117"/>
      <c r="CI226" s="117"/>
      <c r="CJ226" s="117"/>
      <c r="CK226" s="117"/>
      <c r="CL226" s="117"/>
      <c r="CM226" s="117"/>
      <c r="CN226" s="117"/>
      <c r="CO226" s="117"/>
      <c r="CP226" s="117"/>
      <c r="CQ226" s="117"/>
      <c r="CR226" s="117"/>
      <c r="CS226" s="117"/>
      <c r="CT226" s="117"/>
      <c r="CU226" s="117"/>
      <c r="CV226" s="117"/>
      <c r="CW226" s="117"/>
      <c r="CX226" s="117"/>
      <c r="CY226" s="117"/>
      <c r="CZ226" s="117"/>
      <c r="DA226" s="117"/>
      <c r="DB226" s="117"/>
      <c r="DC226" s="117"/>
      <c r="DD226" s="117"/>
      <c r="DE226" s="117"/>
      <c r="DF226" s="117"/>
      <c r="DG226" s="117"/>
      <c r="DH226" s="117"/>
      <c r="DI226" s="117"/>
      <c r="DJ226" s="117"/>
      <c r="DK226" s="117"/>
      <c r="DL226" s="117"/>
      <c r="DM226" s="117"/>
      <c r="DN226" s="117"/>
      <c r="DO226" s="117"/>
      <c r="DP226" s="117"/>
      <c r="DQ226" s="117"/>
      <c r="DR226" s="117"/>
      <c r="DS226" s="507"/>
    </row>
    <row r="227" spans="1:123">
      <c r="A227" s="6"/>
      <c r="B227" s="33"/>
      <c r="C227" s="74"/>
      <c r="D227" s="6"/>
      <c r="E227" s="6"/>
      <c r="F227" s="6"/>
      <c r="G227" s="6"/>
      <c r="H227" s="74"/>
      <c r="I227" s="6"/>
      <c r="J227" s="6"/>
      <c r="K227" s="6"/>
      <c r="L227" s="6"/>
      <c r="M227" s="74"/>
      <c r="N227" s="6"/>
      <c r="O227" s="6"/>
      <c r="P227" s="6"/>
      <c r="Q227" s="6"/>
      <c r="R227" s="74"/>
      <c r="S227" s="6"/>
      <c r="T227" s="6"/>
      <c r="U227" s="6"/>
      <c r="V227" s="6"/>
      <c r="W227" s="74"/>
      <c r="X227" s="6"/>
      <c r="Y227" s="6"/>
      <c r="Z227" s="6"/>
      <c r="AA227" s="6"/>
      <c r="AB227" s="74"/>
      <c r="AC227" s="6"/>
      <c r="AD227" s="6"/>
      <c r="AE227" s="6"/>
      <c r="AF227" s="6"/>
      <c r="AG227" s="74"/>
      <c r="AH227" s="6"/>
      <c r="AI227" s="6"/>
      <c r="AJ227" s="6"/>
      <c r="AK227" s="6"/>
      <c r="AL227" s="74"/>
      <c r="AM227" s="6"/>
      <c r="AN227" s="6"/>
      <c r="AO227" s="6"/>
      <c r="AP227" s="6"/>
      <c r="AQ227" s="74"/>
      <c r="AR227" s="6"/>
      <c r="AS227" s="6"/>
      <c r="AT227" s="6"/>
      <c r="AU227" s="6"/>
      <c r="AV227" s="638"/>
      <c r="AW227" s="6"/>
      <c r="AX227" s="6"/>
      <c r="AY227" s="6"/>
      <c r="AZ227" s="6"/>
      <c r="BA227" s="638"/>
      <c r="BB227" s="6"/>
      <c r="BC227" s="6"/>
      <c r="BD227" s="6"/>
      <c r="BE227" s="6"/>
      <c r="BF227" s="638"/>
      <c r="BG227" s="6"/>
      <c r="BH227" s="6"/>
      <c r="BI227" s="6"/>
      <c r="BJ227" s="6"/>
      <c r="BK227" s="638"/>
      <c r="BL227" s="6"/>
      <c r="BM227" s="6"/>
      <c r="BN227" s="6"/>
      <c r="BO227" s="6"/>
      <c r="BP227" s="638"/>
      <c r="BQ227" s="6"/>
      <c r="BR227" s="6"/>
      <c r="BS227" s="6"/>
      <c r="BT227" s="639"/>
      <c r="BU227" s="74"/>
      <c r="BV227" s="6"/>
      <c r="BW227" s="6"/>
      <c r="BX227" s="6"/>
      <c r="BY227" s="6"/>
      <c r="BZ227" s="74"/>
      <c r="CA227" s="6"/>
      <c r="CB227" s="6"/>
      <c r="CC227" s="6"/>
      <c r="CD227" s="6"/>
      <c r="CE227" s="74"/>
      <c r="CF227" s="6"/>
      <c r="CG227" s="6"/>
      <c r="CH227" s="6"/>
      <c r="CI227" s="6"/>
      <c r="CJ227" s="74"/>
      <c r="CK227" s="6"/>
      <c r="CL227" s="6"/>
      <c r="CM227" s="6"/>
      <c r="CN227" s="6"/>
      <c r="CO227" s="74"/>
      <c r="CP227" s="6"/>
      <c r="CQ227" s="6"/>
      <c r="CR227" s="6"/>
      <c r="CS227" s="6"/>
      <c r="CT227" s="74"/>
      <c r="CU227" s="6"/>
      <c r="CV227" s="6"/>
      <c r="CW227" s="6"/>
      <c r="CX227" s="6"/>
      <c r="CY227" s="74"/>
      <c r="CZ227" s="6"/>
      <c r="DA227" s="6"/>
      <c r="DB227" s="6"/>
      <c r="DC227" s="6"/>
      <c r="DD227" s="74"/>
      <c r="DE227" s="6"/>
      <c r="DF227" s="6"/>
      <c r="DG227" s="6"/>
      <c r="DH227" s="6"/>
      <c r="DI227" s="74"/>
      <c r="DJ227" s="6"/>
      <c r="DK227" s="6"/>
      <c r="DL227" s="6"/>
      <c r="DM227" s="6"/>
      <c r="DN227" s="74"/>
      <c r="DO227" s="6"/>
      <c r="DP227" s="6"/>
      <c r="DQ227" s="6"/>
      <c r="DR227" s="6"/>
      <c r="DS227" s="74"/>
    </row>
    <row r="228" s="3" customFormat="1" hidden="1" outlineLevel="1" spans="1:123">
      <c r="B228" s="130" t="s">
        <v>164</v>
      </c>
      <c r="C228" s="39"/>
      <c r="D228" s="89"/>
      <c r="E228" s="89"/>
      <c r="F228" s="89"/>
      <c r="G228" s="89"/>
      <c r="H228" s="39"/>
      <c r="I228" s="89"/>
      <c r="J228" s="89"/>
      <c r="K228" s="89"/>
      <c r="L228" s="89"/>
      <c r="M228" s="39"/>
      <c r="N228" s="89"/>
      <c r="O228" s="89"/>
      <c r="P228" s="89"/>
      <c r="Q228" s="89"/>
      <c r="R228" s="39"/>
      <c r="S228" s="89"/>
      <c r="T228" s="89"/>
      <c r="U228" s="89"/>
      <c r="V228" s="89"/>
      <c r="W228" s="39"/>
      <c r="X228" s="89"/>
      <c r="Y228" s="89"/>
      <c r="Z228" s="89"/>
      <c r="AA228" s="89"/>
      <c r="AB228" s="39">
        <v>10.2</v>
      </c>
      <c r="AC228" s="89"/>
      <c r="AD228" s="89"/>
      <c r="AE228" s="89"/>
      <c r="AF228" s="89"/>
      <c r="AG228" s="39">
        <v>14.5</v>
      </c>
      <c r="AH228" s="89"/>
      <c r="AI228" s="89"/>
      <c r="AJ228" s="89"/>
      <c r="AK228" s="89"/>
      <c r="AL228" s="39">
        <v>34.1</v>
      </c>
      <c r="AM228" s="89"/>
      <c r="AN228" s="89"/>
      <c r="AO228" s="89"/>
      <c r="AP228" s="89"/>
      <c r="AQ228" s="39">
        <v>64.9</v>
      </c>
      <c r="AR228" s="89"/>
      <c r="AS228" s="89"/>
      <c r="AT228" s="89"/>
      <c r="AU228" s="89"/>
      <c r="AV228" s="39">
        <v>60.2</v>
      </c>
      <c r="AW228" s="89"/>
      <c r="AX228" s="89"/>
      <c r="AY228" s="89"/>
      <c r="AZ228" s="89"/>
      <c r="BA228" s="39">
        <v>76.9</v>
      </c>
      <c r="BB228" s="89">
        <v>16.844</v>
      </c>
      <c r="BC228" s="89">
        <v>24.788</v>
      </c>
      <c r="BD228" s="89">
        <v>30.909</v>
      </c>
      <c r="BE228" s="89">
        <f>BF228-SUM(BB228:BD228)</f>
        <v>13.259</v>
      </c>
      <c r="BF228" s="39">
        <v>85.8</v>
      </c>
      <c r="BG228" s="89">
        <v>16.75</v>
      </c>
      <c r="BH228" s="89">
        <v>11.515</v>
      </c>
      <c r="BI228" s="89">
        <v>18.932</v>
      </c>
      <c r="BJ228" s="89">
        <f>BK228-SUM(BG228:BI228)</f>
        <v>28.103</v>
      </c>
      <c r="BK228" s="39">
        <v>75.3</v>
      </c>
      <c r="BL228" s="89">
        <v>7.168</v>
      </c>
      <c r="BM228" s="89">
        <v>16.634</v>
      </c>
      <c r="BN228" s="89">
        <v>29.747</v>
      </c>
      <c r="BO228" s="89">
        <f>BP228-SUM(BL228:BN228)</f>
        <v>26.651</v>
      </c>
      <c r="BP228" s="39">
        <v>80.2</v>
      </c>
      <c r="BQ228" s="89">
        <v>19.236</v>
      </c>
      <c r="BR228" s="89">
        <v>27.765</v>
      </c>
      <c r="BS228" s="89">
        <v>38.053</v>
      </c>
      <c r="BT228" s="89">
        <f>BU228-SUM(BQ228:BS228)</f>
        <v>44.146</v>
      </c>
      <c r="BU228" s="39">
        <v>129.2</v>
      </c>
      <c r="BV228" s="89">
        <v>38.71</v>
      </c>
      <c r="BW228" s="89">
        <v>42.026</v>
      </c>
      <c r="BX228" s="89">
        <v>47.939</v>
      </c>
      <c r="BY228" s="89">
        <f>BZ228-SUM(BV228:BX228)</f>
        <v>42.825</v>
      </c>
      <c r="BZ228" s="39">
        <v>171.5</v>
      </c>
      <c r="CA228" s="96">
        <v>33.819</v>
      </c>
      <c r="CB228" s="96">
        <v>27.316</v>
      </c>
      <c r="CC228" s="96">
        <v>37.946</v>
      </c>
      <c r="CD228" s="96">
        <f>CE228-SUM(CA228:CC228)</f>
        <v>35.122</v>
      </c>
      <c r="CE228" s="640">
        <v>134.203</v>
      </c>
      <c r="CF228" s="96">
        <v>18.565</v>
      </c>
      <c r="CG228" s="96">
        <v>28.656</v>
      </c>
      <c r="CH228" s="96">
        <v>65.665</v>
      </c>
      <c r="CI228" s="96">
        <f>CJ228-CF228-CG228-CH228</f>
        <v>76.743</v>
      </c>
      <c r="CJ228" s="641">
        <v>189.629</v>
      </c>
      <c r="CK228" s="642">
        <v>24.946</v>
      </c>
      <c r="CL228" s="642">
        <v>60.905</v>
      </c>
      <c r="CM228" s="642">
        <v>96.509</v>
      </c>
      <c r="CN228" s="642">
        <f>CO228-CK228-CL228-CM228</f>
        <v>121.337</v>
      </c>
      <c r="CO228" s="641">
        <v>303.697</v>
      </c>
      <c r="CP228" s="643">
        <v>41.711</v>
      </c>
      <c r="CQ228" s="642">
        <v>53.471</v>
      </c>
      <c r="CR228" s="642">
        <v>73.329</v>
      </c>
      <c r="CT228" s="644"/>
      <c r="CY228" s="644"/>
      <c r="DD228" s="644"/>
      <c r="DI228" s="644"/>
      <c r="DN228" s="644"/>
      <c r="DS228" s="644"/>
    </row>
    <row r="229" s="4" customFormat="1" hidden="1" outlineLevel="1" spans="1:123">
      <c r="B229" s="38" t="s">
        <v>165</v>
      </c>
      <c r="C229" s="636"/>
      <c r="D229" s="486"/>
      <c r="E229" s="486"/>
      <c r="F229" s="486"/>
      <c r="G229" s="486"/>
      <c r="H229" s="636"/>
      <c r="I229" s="486"/>
      <c r="J229" s="486"/>
      <c r="K229" s="486"/>
      <c r="L229" s="486"/>
      <c r="M229" s="636"/>
      <c r="N229" s="486"/>
      <c r="O229" s="486"/>
      <c r="P229" s="486"/>
      <c r="Q229" s="486"/>
      <c r="R229" s="636"/>
      <c r="S229" s="486"/>
      <c r="T229" s="486"/>
      <c r="U229" s="486"/>
      <c r="V229" s="486"/>
      <c r="W229" s="636"/>
      <c r="X229" s="486"/>
      <c r="Y229" s="486"/>
      <c r="Z229" s="486"/>
      <c r="AA229" s="486"/>
      <c r="AB229" s="530">
        <f>AB228/'3. Earnings Build'!AB383</f>
        <v>0.0259191779046632</v>
      </c>
      <c r="AC229" s="645"/>
      <c r="AD229" s="645"/>
      <c r="AE229" s="645"/>
      <c r="AF229" s="645"/>
      <c r="AG229" s="530">
        <f>AG228/'3. Earnings Build'!AG383</f>
        <v>0.0245348115134256</v>
      </c>
      <c r="AH229" s="645"/>
      <c r="AI229" s="645"/>
      <c r="AJ229" s="645"/>
      <c r="AK229" s="645"/>
      <c r="AL229" s="530">
        <f>AL228/'3. Earnings Build'!AL383</f>
        <v>0.0417273773494104</v>
      </c>
      <c r="AM229" s="645"/>
      <c r="AN229" s="645"/>
      <c r="AO229" s="645"/>
      <c r="AP229" s="645"/>
      <c r="AQ229" s="530">
        <f>AQ228/'3. Earnings Build'!AQ383</f>
        <v>0.0595313989144922</v>
      </c>
      <c r="AR229" s="486"/>
      <c r="AS229" s="486"/>
      <c r="AT229" s="486"/>
      <c r="AU229" s="486"/>
      <c r="AV229" s="530">
        <f>AV228/'3. Earnings Build'!AV383</f>
        <v>0.0489829527932895</v>
      </c>
      <c r="AW229" s="486"/>
      <c r="AX229" s="486"/>
      <c r="AY229" s="486"/>
      <c r="AZ229" s="486"/>
      <c r="BA229" s="530">
        <f>BA228/'3. Earnings Build'!BA383</f>
        <v>0.0570379573142465</v>
      </c>
      <c r="BB229" s="309">
        <f>BB228/'3. Earnings Build'!BB383</f>
        <v>0.0536272580819755</v>
      </c>
      <c r="BC229" s="645">
        <f>BC228/'3. Earnings Build'!BC383</f>
        <v>0.0729533019992407</v>
      </c>
      <c r="BD229" s="645">
        <f>BD228/'3. Earnings Build'!BD383</f>
        <v>0.0874620471478414</v>
      </c>
      <c r="BE229" s="646">
        <f>BE228/'3. Earnings Build'!BE383</f>
        <v>0.0260465061457496</v>
      </c>
      <c r="BF229" s="530">
        <f>BF228/'3. Earnings Build'!BF383</f>
        <v>0.0565842501894385</v>
      </c>
      <c r="BG229" s="309">
        <f>BG228/'3. Earnings Build'!BG383</f>
        <v>0.0466958829564209</v>
      </c>
      <c r="BH229" s="645">
        <f>BH228/'3. Earnings Build'!BH383</f>
        <v>0.0301922708835336</v>
      </c>
      <c r="BI229" s="645">
        <f>BI228/'3. Earnings Build'!BI383</f>
        <v>0.0481110834396426</v>
      </c>
      <c r="BJ229" s="646">
        <f>BJ228/'3. Earnings Build'!BJ383</f>
        <v>0.049238030829178</v>
      </c>
      <c r="BK229" s="530">
        <f>BK228/'3. Earnings Build'!BK383</f>
        <v>0.0441808846386056</v>
      </c>
      <c r="BL229" s="309">
        <f>BL228/'3. Earnings Build'!BL383</f>
        <v>0.0189079897335525</v>
      </c>
      <c r="BM229" s="645">
        <f>BM228/'3. Earnings Build'!BM383</f>
        <v>0.0401841795025414</v>
      </c>
      <c r="BN229" s="645">
        <f>BN228/'3. Earnings Build'!BN383</f>
        <v>0.0699764761232651</v>
      </c>
      <c r="BO229" s="646">
        <f>BO228/'3. Earnings Build'!BO383</f>
        <v>0.0430618839877202</v>
      </c>
      <c r="BP229" s="530">
        <f>BP228/'3. Earnings Build'!BP383</f>
        <v>0.0436571163549247</v>
      </c>
      <c r="BQ229" s="309">
        <f>BQ228/'3. Earnings Build'!BQ383</f>
        <v>0.0444126339120798</v>
      </c>
      <c r="BR229" s="645">
        <f>BR228/'3. Earnings Build'!BR383</f>
        <v>0.0570826480263158</v>
      </c>
      <c r="BS229" s="645">
        <f>BS228/'3. Earnings Build'!BS383</f>
        <v>0.0797962577352231</v>
      </c>
      <c r="BT229" s="646">
        <f>BT228/'3. Earnings Build'!BT383</f>
        <v>0.060476789329914</v>
      </c>
      <c r="BU229" s="530">
        <f>BU228/'3. Earnings Build'!BU383</f>
        <v>0.0607610271623425</v>
      </c>
      <c r="BV229" s="309">
        <f>BV228/'3. Earnings Build'!BV383</f>
        <v>0.0764382274071821</v>
      </c>
      <c r="BW229" s="645">
        <f>BW228/'3. Earnings Build'!BW383</f>
        <v>0.0719924077868151</v>
      </c>
      <c r="BX229" s="645">
        <f>BX228/'3. Earnings Build'!BX383</f>
        <v>0.0827247627264883</v>
      </c>
      <c r="BY229" s="645">
        <f>BY228/'3. Earnings Build'!BY383</f>
        <v>0.0515095020447438</v>
      </c>
      <c r="BZ229" s="530">
        <f>BZ228/'3. Earnings Build'!BZ383</f>
        <v>0.0685704324295364</v>
      </c>
      <c r="CA229" s="309">
        <f>CA228/'3. Earnings Build'!CA383</f>
        <v>0.130088087086972</v>
      </c>
      <c r="CB229" s="645">
        <f>CB228/'3. Earnings Build'!CB383</f>
        <v>0.0951114206128134</v>
      </c>
      <c r="CC229" s="645">
        <f>CC228/'3. Earnings Build'!CC383</f>
        <v>0.0741486177006229</v>
      </c>
      <c r="CD229" s="645">
        <f>CD228/'3. Earnings Build'!CD383</f>
        <v>0.0585482787419505</v>
      </c>
      <c r="CE229" s="530">
        <f>CE228/'3. Earnings Build'!CE383</f>
        <v>0.0809033238948232</v>
      </c>
      <c r="CF229" s="645">
        <f>CF228/'3. Earnings Build'!CF383</f>
        <v>0.034598497159811</v>
      </c>
      <c r="CG229" s="645">
        <f>CG228/'3. Earnings Build'!CG383</f>
        <v>0.0412245367706295</v>
      </c>
      <c r="CH229" s="645">
        <f>CH228/'3. Earnings Build'!CH383</f>
        <v>0.0928573448724476</v>
      </c>
      <c r="CI229" s="645">
        <f>CI228/'3. Earnings Build'!CI383</f>
        <v>0.0869478027674016</v>
      </c>
      <c r="CJ229" s="530">
        <f>CJ228/'3. Earnings Build'!CJ383</f>
        <v>0.0672086484586019</v>
      </c>
      <c r="CK229" s="645">
        <f>CK228/'3. Earnings Build'!CK383</f>
        <v>0.0340976812592605</v>
      </c>
      <c r="CL229" s="645">
        <f>CL228/'3. Earnings Build'!CL383</f>
        <v>0.0674416467255838</v>
      </c>
      <c r="CM229" s="645">
        <f>CM228/'3. Earnings Build'!CM383</f>
        <v>0.106868868070782</v>
      </c>
      <c r="CN229" s="645">
        <f>CN228/'3. Earnings Build'!CN383</f>
        <v>0.109274612612191</v>
      </c>
      <c r="CO229" s="530">
        <f>CO228/'3. Earnings Build'!CO383</f>
        <v>0.0832473759822506</v>
      </c>
      <c r="CP229" s="645">
        <f>CP228/'3. Earnings Build'!CP383</f>
        <v>0.0435357123100512</v>
      </c>
      <c r="CQ229" s="645">
        <f>CQ228/'3. Earnings Build'!CQ383</f>
        <v>0.0487456458381004</v>
      </c>
      <c r="CR229" s="645">
        <f>CR228/'3. Earnings Build'!CR383</f>
        <v>0.0682782528052381</v>
      </c>
      <c r="CS229" s="645"/>
      <c r="CT229" s="647"/>
      <c r="CU229" s="645"/>
      <c r="CY229" s="647"/>
      <c r="DD229" s="647"/>
      <c r="DI229" s="647"/>
      <c r="DN229" s="647"/>
      <c r="DS229" s="647"/>
    </row>
    <row r="230" s="4" customFormat="1" hidden="1" outlineLevel="1" spans="1:123">
      <c r="B230" s="38" t="s">
        <v>166</v>
      </c>
      <c r="C230" s="636"/>
      <c r="D230" s="486"/>
      <c r="E230" s="486"/>
      <c r="F230" s="486"/>
      <c r="G230" s="486"/>
      <c r="H230" s="636"/>
      <c r="I230" s="486"/>
      <c r="J230" s="486"/>
      <c r="K230" s="486"/>
      <c r="L230" s="486"/>
      <c r="M230" s="636"/>
      <c r="N230" s="486"/>
      <c r="O230" s="486"/>
      <c r="P230" s="486"/>
      <c r="Q230" s="486"/>
      <c r="R230" s="636"/>
      <c r="S230" s="486"/>
      <c r="T230" s="486"/>
      <c r="U230" s="486"/>
      <c r="V230" s="486"/>
      <c r="W230" s="636"/>
      <c r="X230" s="486"/>
      <c r="Y230" s="486"/>
      <c r="Z230" s="486"/>
      <c r="AA230" s="486"/>
      <c r="AB230" s="530"/>
      <c r="AC230" s="645"/>
      <c r="AD230" s="645"/>
      <c r="AE230" s="645"/>
      <c r="AF230" s="645"/>
      <c r="AG230" s="530">
        <f>AG228/AB228-1</f>
        <v>0.42156862745098</v>
      </c>
      <c r="AH230" s="645"/>
      <c r="AI230" s="645"/>
      <c r="AJ230" s="645"/>
      <c r="AK230" s="645"/>
      <c r="AL230" s="530">
        <f>AL228/AG228-1</f>
        <v>1.35172413793103</v>
      </c>
      <c r="AM230" s="645"/>
      <c r="AN230" s="645"/>
      <c r="AO230" s="645"/>
      <c r="AP230" s="645"/>
      <c r="AQ230" s="530">
        <f>AQ228/AL228-1</f>
        <v>0.903225806451613</v>
      </c>
      <c r="AR230" s="486"/>
      <c r="AS230" s="486"/>
      <c r="AT230" s="486"/>
      <c r="AU230" s="486"/>
      <c r="AV230" s="530">
        <f>AV228/AQ228-1</f>
        <v>-0.0724191063174114</v>
      </c>
      <c r="AW230" s="486"/>
      <c r="AX230" s="486"/>
      <c r="AY230" s="486"/>
      <c r="AZ230" s="486"/>
      <c r="BA230" s="530">
        <f>BA228/AV228-1</f>
        <v>0.277408637873754</v>
      </c>
      <c r="BB230" s="309"/>
      <c r="BC230" s="645"/>
      <c r="BD230" s="645"/>
      <c r="BE230" s="646"/>
      <c r="BF230" s="530">
        <f t="shared" ref="BF230:BK230" si="547">BF228/BA228-1</f>
        <v>0.115734720416125</v>
      </c>
      <c r="BG230" s="309">
        <f t="shared" si="547"/>
        <v>-0.00558062218000477</v>
      </c>
      <c r="BH230" s="645">
        <f t="shared" si="547"/>
        <v>-0.53546070679361</v>
      </c>
      <c r="BI230" s="645">
        <f t="shared" si="547"/>
        <v>-0.387492316153871</v>
      </c>
      <c r="BJ230" s="646">
        <f t="shared" si="547"/>
        <v>1.11954144354778</v>
      </c>
      <c r="BK230" s="530">
        <f t="shared" si="547"/>
        <v>-0.122377622377622</v>
      </c>
      <c r="BL230" s="309">
        <f t="shared" ref="BL230:BS230" si="548">BL228/BG228-1</f>
        <v>-0.572059701492537</v>
      </c>
      <c r="BM230" s="645">
        <f t="shared" si="548"/>
        <v>0.444550586191923</v>
      </c>
      <c r="BN230" s="645">
        <f t="shared" si="548"/>
        <v>0.571255017959011</v>
      </c>
      <c r="BO230" s="646">
        <f t="shared" si="548"/>
        <v>-0.0516670818062126</v>
      </c>
      <c r="BP230" s="530">
        <f t="shared" si="548"/>
        <v>0.0650730411686589</v>
      </c>
      <c r="BQ230" s="309">
        <f t="shared" si="548"/>
        <v>1.68359375</v>
      </c>
      <c r="BR230" s="645">
        <f t="shared" si="548"/>
        <v>0.669171576289527</v>
      </c>
      <c r="BS230" s="645">
        <f t="shared" si="548"/>
        <v>0.279221434094194</v>
      </c>
      <c r="BT230" s="646">
        <f t="shared" ref="BT230:CI230" si="549">BT228/BO228-1</f>
        <v>0.656448163295936</v>
      </c>
      <c r="BU230" s="530">
        <f t="shared" si="549"/>
        <v>0.610972568578553</v>
      </c>
      <c r="BV230" s="309">
        <f t="shared" si="549"/>
        <v>1.01237263464338</v>
      </c>
      <c r="BW230" s="645">
        <f t="shared" si="549"/>
        <v>0.513632270844589</v>
      </c>
      <c r="BX230" s="645">
        <f t="shared" si="549"/>
        <v>0.259795548314193</v>
      </c>
      <c r="BY230" s="645">
        <f t="shared" si="549"/>
        <v>-0.0299234358718796</v>
      </c>
      <c r="BZ230" s="530">
        <f t="shared" si="549"/>
        <v>0.327399380804954</v>
      </c>
      <c r="CA230" s="309">
        <f t="shared" si="549"/>
        <v>-0.126349780418496</v>
      </c>
      <c r="CB230" s="645">
        <f t="shared" si="549"/>
        <v>-0.350021415314329</v>
      </c>
      <c r="CC230" s="645">
        <f t="shared" si="549"/>
        <v>-0.208452408268842</v>
      </c>
      <c r="CD230" s="645">
        <f t="shared" si="549"/>
        <v>-0.179871570344425</v>
      </c>
      <c r="CE230" s="530">
        <f t="shared" si="549"/>
        <v>-0.217475218658892</v>
      </c>
      <c r="CF230" s="645">
        <f t="shared" si="549"/>
        <v>-0.451048227327833</v>
      </c>
      <c r="CG230" s="645">
        <f t="shared" si="549"/>
        <v>0.0490554986088738</v>
      </c>
      <c r="CH230" s="645">
        <f t="shared" si="549"/>
        <v>0.730485426658937</v>
      </c>
      <c r="CI230" s="645">
        <f t="shared" si="549"/>
        <v>1.18504071522123</v>
      </c>
      <c r="CJ230" s="530">
        <f t="shared" ref="CJ230:CR230" si="550">CJ228/CE228-1</f>
        <v>0.413001199675119</v>
      </c>
      <c r="CK230" s="645">
        <f t="shared" si="550"/>
        <v>0.343711284675465</v>
      </c>
      <c r="CL230" s="645">
        <f t="shared" si="550"/>
        <v>1.12538386376326</v>
      </c>
      <c r="CM230" s="645">
        <f t="shared" si="550"/>
        <v>0.469717505520445</v>
      </c>
      <c r="CN230" s="645">
        <f t="shared" si="550"/>
        <v>0.581082313696363</v>
      </c>
      <c r="CO230" s="530">
        <f t="shared" si="550"/>
        <v>0.601532466025766</v>
      </c>
      <c r="CP230" s="645">
        <f t="shared" si="550"/>
        <v>0.672051631524092</v>
      </c>
      <c r="CQ230" s="645">
        <f t="shared" si="550"/>
        <v>-0.12205894425745</v>
      </c>
      <c r="CR230" s="645">
        <f t="shared" si="550"/>
        <v>-0.240184853226124</v>
      </c>
      <c r="CS230" s="645"/>
      <c r="CT230" s="647"/>
      <c r="CU230" s="645"/>
      <c r="CY230" s="647"/>
      <c r="DD230" s="647"/>
      <c r="DI230" s="647"/>
      <c r="DN230" s="647"/>
      <c r="DS230" s="647"/>
    </row>
    <row r="231" hidden="1" outlineLevel="1" spans="1:123">
      <c r="A231" s="6"/>
      <c r="B231" s="33" t="s">
        <v>167</v>
      </c>
      <c r="C231" s="74"/>
      <c r="D231" s="6"/>
      <c r="E231" s="6"/>
      <c r="F231" s="6"/>
      <c r="G231" s="6"/>
      <c r="H231" s="74"/>
      <c r="I231" s="6"/>
      <c r="J231" s="6"/>
      <c r="K231" s="6"/>
      <c r="L231" s="6"/>
      <c r="M231" s="74"/>
      <c r="N231" s="6"/>
      <c r="O231" s="6"/>
      <c r="P231" s="6"/>
      <c r="Q231" s="6"/>
      <c r="R231" s="74"/>
      <c r="S231" s="6"/>
      <c r="T231" s="6"/>
      <c r="U231" s="6"/>
      <c r="V231" s="6"/>
      <c r="W231" s="74"/>
      <c r="X231" s="6"/>
      <c r="Y231" s="6"/>
      <c r="Z231" s="6"/>
      <c r="AA231" s="6"/>
      <c r="AB231" s="648">
        <f>1000*AB228/'3. Earnings Build'!AB398</f>
        <v>95.7746478873239</v>
      </c>
      <c r="AC231" s="649"/>
      <c r="AD231" s="649"/>
      <c r="AE231" s="649"/>
      <c r="AF231" s="649"/>
      <c r="AG231" s="648">
        <f>1000*AG228/'3. Earnings Build'!AG398</f>
        <v>115.308151093439</v>
      </c>
      <c r="AH231" s="649"/>
      <c r="AI231" s="649"/>
      <c r="AJ231" s="649"/>
      <c r="AK231" s="649"/>
      <c r="AL231" s="648">
        <f>1000*AL228/'3. Earnings Build'!AL398</f>
        <v>218.589743589744</v>
      </c>
      <c r="AM231" s="649"/>
      <c r="AN231" s="649"/>
      <c r="AO231" s="649"/>
      <c r="AP231" s="649"/>
      <c r="AQ231" s="648">
        <f>1000*AQ228/'3. Earnings Build'!AQ398</f>
        <v>332.394366197183</v>
      </c>
      <c r="AR231" s="489"/>
      <c r="AS231" s="489"/>
      <c r="AT231" s="489"/>
      <c r="AU231" s="489"/>
      <c r="AV231" s="648">
        <f>1000*AV228/'3. Earnings Build'!AV398</f>
        <v>254.814814814815</v>
      </c>
      <c r="AW231" s="489"/>
      <c r="AX231" s="489"/>
      <c r="AY231" s="489"/>
      <c r="AZ231" s="489"/>
      <c r="BA231" s="648">
        <f>1000*BA228/'3. Earnings Build'!BA398</f>
        <v>273.665480427046</v>
      </c>
      <c r="BB231" s="650">
        <f>1000*BB228/'3. Earnings Build'!BB398</f>
        <v>54.5113268608414</v>
      </c>
      <c r="BC231" s="649">
        <f>1000*BC228/'3. Earnings Build'!BC398</f>
        <v>76.0368098159509</v>
      </c>
      <c r="BD231" s="649">
        <f>1000*BD228/'3. Earnings Build'!BD398</f>
        <v>89.5913043478261</v>
      </c>
      <c r="BE231" s="651">
        <f>1000*BE228/'3. Earnings Build'!BE398</f>
        <v>36.9846582984658</v>
      </c>
      <c r="BF231" s="648">
        <f>1000*BF228/'3. Earnings Build'!BF398</f>
        <v>250.693937180424</v>
      </c>
      <c r="BG231" s="650">
        <f>1000*BG228/'3. Earnings Build'!BG398</f>
        <v>45.5163043478261</v>
      </c>
      <c r="BH231" s="649">
        <f>1000*BH228/'3. Earnings Build'!BH398</f>
        <v>30.625</v>
      </c>
      <c r="BI231" s="649">
        <f>1000*BI228/'3. Earnings Build'!BI398</f>
        <v>49.3020833333333</v>
      </c>
      <c r="BJ231" s="651">
        <f>1000*BJ228/'3. Earnings Build'!BJ398</f>
        <v>70.6993710691824</v>
      </c>
      <c r="BK231" s="648">
        <f>1000*BK228/'3. Earnings Build'!BK398</f>
        <v>194.69941822883</v>
      </c>
      <c r="BL231" s="650">
        <f>1000*BL228/'3. Earnings Build'!BL398</f>
        <v>17.547123623011</v>
      </c>
      <c r="BM231" s="649">
        <f>1000*BM228/'3. Earnings Build'!BM398</f>
        <v>39.9855769230769</v>
      </c>
      <c r="BN231" s="649">
        <f>1000*BN228/'3. Earnings Build'!BN398</f>
        <v>73.540173053152</v>
      </c>
      <c r="BO231" s="651">
        <f>1000*BO228/'3. Earnings Build'!BO398</f>
        <v>67.3005050505051</v>
      </c>
      <c r="BP231" s="648">
        <f>1000*BP228/'3. Earnings Build'!BP398</f>
        <v>197.536945812808</v>
      </c>
      <c r="BQ231" s="650">
        <f>1000*BQ228/'3. Earnings Build'!BQ398</f>
        <v>47.2049079754601</v>
      </c>
      <c r="BR231" s="649">
        <f>1000*BR228/'3. Earnings Build'!BR398</f>
        <v>67.227602905569</v>
      </c>
      <c r="BS231" s="649">
        <f>1000*BS228/'3. Earnings Build'!BS398</f>
        <v>90.4946492271106</v>
      </c>
      <c r="BT231" s="651">
        <f>1000*BT228/'3. Earnings Build'!BT398</f>
        <v>101.953810623557</v>
      </c>
      <c r="BU231" s="648">
        <f>1000*BU228/'3. Earnings Build'!BU398</f>
        <v>305.437352245863</v>
      </c>
      <c r="BV231" s="650">
        <f>1000*BV228/'3. Earnings Build'!BV398</f>
        <v>86.5027932960894</v>
      </c>
      <c r="BW231" s="649">
        <f>1000*BW228/'3. Earnings Build'!BW398</f>
        <v>91.8601092896175</v>
      </c>
      <c r="BX231" s="649">
        <f>1000*BX228/'3. Earnings Build'!BX398</f>
        <v>102.10649627263</v>
      </c>
      <c r="BY231" s="649">
        <f>1000*BY228/'3. Earnings Build'!BY398</f>
        <v>88.2989690721649</v>
      </c>
      <c r="BZ231" s="648">
        <f>1000*BZ228/'3. Earnings Build'!BZ398</f>
        <v>363.925729442971</v>
      </c>
      <c r="CA231" s="650">
        <f>1000*CA228/'3. Earnings Build'!CA398</f>
        <v>69.0183673469388</v>
      </c>
      <c r="CB231" s="649">
        <f>1000*CB228/'3. Earnings Build'!CB398</f>
        <v>54.9065326633166</v>
      </c>
      <c r="CC231" s="649">
        <f>1000*CC228/'3. Earnings Build'!CC398</f>
        <v>74.3310479921645</v>
      </c>
      <c r="CD231" s="649">
        <f>1000*CD228/'3. Earnings Build'!CD398</f>
        <v>67.8030888030888</v>
      </c>
      <c r="CE231" s="648">
        <f>1000*CE228/'3. Earnings Build'!CE398</f>
        <v>264.309207287051</v>
      </c>
      <c r="CF231" s="649">
        <f>1000*CF228/'3. Earnings Build'!CF398</f>
        <v>35.5651340996169</v>
      </c>
      <c r="CG231" s="649">
        <f>1000*CG228/'3. Earnings Build'!CG398</f>
        <v>54.2213812677389</v>
      </c>
      <c r="CH231" s="649">
        <f>1000*CH228/'3. Earnings Build'!CH398</f>
        <v>120.930018416206</v>
      </c>
      <c r="CI231" s="649">
        <f>1000*CI228/'3. Earnings Build'!CI398</f>
        <v>136.310834813499</v>
      </c>
      <c r="CJ231" s="648">
        <f>1000*CJ228/'3. Earnings Build'!CJ398</f>
        <v>347.464956481906</v>
      </c>
      <c r="CK231" s="649">
        <f>1000*CK228/'3. Earnings Build'!CK398</f>
        <v>43.2714657415438</v>
      </c>
      <c r="CL231" s="649">
        <f>1000*CL228/'3. Earnings Build'!CL398</f>
        <v>103.316369804919</v>
      </c>
      <c r="CM231" s="649">
        <f>1000*CM228/'3. Earnings Build'!CM398</f>
        <v>157.823385118561</v>
      </c>
      <c r="CN231" s="649">
        <f>1000*CN228/'3. Earnings Build'!CN398</f>
        <v>189.885758998435</v>
      </c>
      <c r="CO231" s="648">
        <f>1000*CO228/'3. Earnings Build'!CO398</f>
        <v>494.41921041921</v>
      </c>
      <c r="CP231" s="649">
        <f>1000*CP228/'3. Earnings Build'!CP398</f>
        <v>63.3424449506454</v>
      </c>
      <c r="CQ231" s="649">
        <f>1000*CQ228/'3. Earnings Build'!CQ398</f>
        <v>80.1664167916042</v>
      </c>
      <c r="CR231" s="649">
        <f>1000*CR228/'3. Earnings Build'!CR398</f>
        <v>107.99558173785</v>
      </c>
      <c r="CS231" s="649"/>
      <c r="CT231" s="74"/>
      <c r="CU231" s="649"/>
      <c r="CV231" s="6"/>
      <c r="CW231" s="6"/>
      <c r="CX231" s="6"/>
      <c r="CY231" s="74"/>
      <c r="CZ231" s="6"/>
      <c r="DA231" s="6"/>
      <c r="DB231" s="6"/>
      <c r="DC231" s="6"/>
      <c r="DD231" s="74"/>
      <c r="DE231" s="6"/>
      <c r="DF231" s="6"/>
      <c r="DG231" s="6"/>
      <c r="DH231" s="6"/>
      <c r="DI231" s="74"/>
      <c r="DJ231" s="6"/>
      <c r="DK231" s="6"/>
      <c r="DL231" s="6"/>
      <c r="DM231" s="6"/>
      <c r="DN231" s="74"/>
      <c r="DO231" s="6"/>
      <c r="DP231" s="6"/>
      <c r="DQ231" s="6"/>
      <c r="DR231" s="6"/>
      <c r="DS231" s="74"/>
    </row>
    <row r="232" s="4" customFormat="1" hidden="1" outlineLevel="1" spans="1:123">
      <c r="B232" s="38" t="s">
        <v>168</v>
      </c>
      <c r="C232" s="636"/>
      <c r="D232" s="486"/>
      <c r="E232" s="486"/>
      <c r="F232" s="486"/>
      <c r="G232" s="486"/>
      <c r="H232" s="636"/>
      <c r="I232" s="486"/>
      <c r="J232" s="486"/>
      <c r="K232" s="486"/>
      <c r="L232" s="486"/>
      <c r="M232" s="636"/>
      <c r="N232" s="486"/>
      <c r="O232" s="486"/>
      <c r="P232" s="486"/>
      <c r="Q232" s="486"/>
      <c r="R232" s="636"/>
      <c r="S232" s="486"/>
      <c r="T232" s="486"/>
      <c r="U232" s="486"/>
      <c r="V232" s="486"/>
      <c r="W232" s="636"/>
      <c r="X232" s="486"/>
      <c r="Y232" s="486"/>
      <c r="Z232" s="486"/>
      <c r="AA232" s="486"/>
      <c r="AB232" s="530"/>
      <c r="AC232" s="645"/>
      <c r="AD232" s="645"/>
      <c r="AE232" s="645"/>
      <c r="AF232" s="645"/>
      <c r="AG232" s="530"/>
      <c r="AH232" s="645"/>
      <c r="AI232" s="645"/>
      <c r="AJ232" s="645"/>
      <c r="AK232" s="645"/>
      <c r="AL232" s="530">
        <f>AL231/AG231-1</f>
        <v>0.895700707338638</v>
      </c>
      <c r="AM232" s="645"/>
      <c r="AN232" s="645"/>
      <c r="AO232" s="645"/>
      <c r="AP232" s="645"/>
      <c r="AQ232" s="530">
        <f>AQ231/AL231-1</f>
        <v>0.52063111808682</v>
      </c>
      <c r="AR232" s="486"/>
      <c r="AS232" s="486"/>
      <c r="AT232" s="486"/>
      <c r="AU232" s="486"/>
      <c r="AV232" s="530">
        <f>AV231/AQ231-1</f>
        <v>-0.233396107972379</v>
      </c>
      <c r="AW232" s="486"/>
      <c r="AX232" s="486"/>
      <c r="AY232" s="486"/>
      <c r="AZ232" s="486"/>
      <c r="BA232" s="530">
        <f>BA231/AV231-1</f>
        <v>0.0739779028386989</v>
      </c>
      <c r="BB232" s="309"/>
      <c r="BC232" s="645"/>
      <c r="BD232" s="645"/>
      <c r="BE232" s="646"/>
      <c r="BF232" s="530">
        <f t="shared" ref="BF232:BK232" si="551">BF231/BA231-1</f>
        <v>-0.083940229548777</v>
      </c>
      <c r="BG232" s="309">
        <f t="shared" si="551"/>
        <v>-0.165011989819624</v>
      </c>
      <c r="BH232" s="645">
        <f t="shared" si="551"/>
        <v>-0.597234548975311</v>
      </c>
      <c r="BI232" s="645">
        <f t="shared" si="551"/>
        <v>-0.449700127794493</v>
      </c>
      <c r="BJ232" s="646">
        <f t="shared" si="551"/>
        <v>0.911586433992147</v>
      </c>
      <c r="BK232" s="530">
        <f t="shared" si="551"/>
        <v>-0.223358089873927</v>
      </c>
      <c r="BL232" s="309">
        <f t="shared" ref="BL232:BS232" si="552">BL231/BG231-1</f>
        <v>-0.614487075028773</v>
      </c>
      <c r="BM232" s="645">
        <f t="shared" si="552"/>
        <v>0.305651491365777</v>
      </c>
      <c r="BN232" s="645">
        <f t="shared" si="552"/>
        <v>0.491624046715106</v>
      </c>
      <c r="BO232" s="646">
        <f t="shared" si="552"/>
        <v>-0.048074911661539</v>
      </c>
      <c r="BP232" s="530">
        <f t="shared" si="552"/>
        <v>0.0145738883546276</v>
      </c>
      <c r="BQ232" s="309">
        <f t="shared" si="552"/>
        <v>1.69017925613497</v>
      </c>
      <c r="BR232" s="645">
        <f t="shared" si="552"/>
        <v>0.681296309289209</v>
      </c>
      <c r="BS232" s="645">
        <f t="shared" si="552"/>
        <v>0.230547134580503</v>
      </c>
      <c r="BT232" s="646">
        <f t="shared" ref="BT232:CI232" si="553">BT231/BO231-1</f>
        <v>0.514904093914989</v>
      </c>
      <c r="BU232" s="530">
        <f t="shared" si="553"/>
        <v>0.546228990172323</v>
      </c>
      <c r="BV232" s="309">
        <f t="shared" si="553"/>
        <v>0.832495751099835</v>
      </c>
      <c r="BW232" s="645">
        <f t="shared" si="553"/>
        <v>0.366404651057519</v>
      </c>
      <c r="BX232" s="645">
        <f t="shared" si="553"/>
        <v>0.128315288745726</v>
      </c>
      <c r="BY232" s="645">
        <f t="shared" si="553"/>
        <v>-0.133931644809328</v>
      </c>
      <c r="BZ232" s="530">
        <f t="shared" si="553"/>
        <v>0.191490584786197</v>
      </c>
      <c r="CA232" s="309">
        <f t="shared" si="553"/>
        <v>-0.202125564769953</v>
      </c>
      <c r="CB232" s="645">
        <f t="shared" si="553"/>
        <v>-0.402281000012675</v>
      </c>
      <c r="CC232" s="645">
        <f t="shared" si="553"/>
        <v>-0.272024301042549</v>
      </c>
      <c r="CD232" s="645">
        <f t="shared" si="553"/>
        <v>-0.232119134395842</v>
      </c>
      <c r="CE232" s="530">
        <f t="shared" si="553"/>
        <v>-0.273727615545057</v>
      </c>
      <c r="CF232" s="645">
        <f t="shared" si="553"/>
        <v>-0.484700443277085</v>
      </c>
      <c r="CG232" s="645">
        <f t="shared" si="553"/>
        <v>-0.0124785041477488</v>
      </c>
      <c r="CH232" s="645">
        <f t="shared" si="553"/>
        <v>0.626911252871799</v>
      </c>
      <c r="CI232" s="645">
        <f t="shared" si="553"/>
        <v>1.01039270068312</v>
      </c>
      <c r="CJ232" s="530">
        <f t="shared" ref="CJ232:CR232" si="554">CJ231/CE231-1</f>
        <v>0.314615408401359</v>
      </c>
      <c r="CK232" s="645">
        <f t="shared" si="554"/>
        <v>0.21668220399062</v>
      </c>
      <c r="CL232" s="645">
        <f t="shared" si="554"/>
        <v>0.905454405426435</v>
      </c>
      <c r="CM232" s="645">
        <f t="shared" si="554"/>
        <v>0.30508030334849</v>
      </c>
      <c r="CN232" s="645">
        <f t="shared" si="554"/>
        <v>0.393034964962523</v>
      </c>
      <c r="CO232" s="530">
        <f t="shared" si="554"/>
        <v>0.422932589879629</v>
      </c>
      <c r="CP232" s="645">
        <f t="shared" si="554"/>
        <v>0.463838672093605</v>
      </c>
      <c r="CQ232" s="645">
        <f t="shared" si="554"/>
        <v>-0.224068587166067</v>
      </c>
      <c r="CR232" s="645">
        <f t="shared" si="554"/>
        <v>-0.315718759569624</v>
      </c>
      <c r="CS232" s="645"/>
      <c r="CT232" s="647"/>
      <c r="CU232" s="645"/>
      <c r="CY232" s="647"/>
      <c r="DD232" s="647"/>
      <c r="DI232" s="647"/>
      <c r="DN232" s="647"/>
      <c r="DS232" s="647"/>
    </row>
    <row r="233" hidden="1" outlineLevel="1" spans="1:123">
      <c r="A233" s="6"/>
      <c r="B233" s="33" t="s">
        <v>169</v>
      </c>
      <c r="C233" s="60"/>
      <c r="D233" s="88"/>
      <c r="E233" s="88"/>
      <c r="F233" s="88"/>
      <c r="G233" s="88"/>
      <c r="H233" s="60"/>
      <c r="I233" s="88"/>
      <c r="J233" s="88"/>
      <c r="K233" s="88"/>
      <c r="L233" s="88"/>
      <c r="M233" s="60"/>
      <c r="N233" s="88"/>
      <c r="O233" s="88"/>
      <c r="P233" s="88"/>
      <c r="Q233" s="88"/>
      <c r="R233" s="60"/>
      <c r="S233" s="88"/>
      <c r="T233" s="88"/>
      <c r="U233" s="88"/>
      <c r="V233" s="88"/>
      <c r="W233" s="60"/>
      <c r="X233" s="88"/>
      <c r="Y233" s="88"/>
      <c r="Z233" s="88"/>
      <c r="AA233" s="88"/>
      <c r="AB233" s="652">
        <f>AB228/'3. Earnings Build'!AB448</f>
        <v>35.5011050589075</v>
      </c>
      <c r="AC233" s="653"/>
      <c r="AD233" s="653"/>
      <c r="AE233" s="653"/>
      <c r="AF233" s="653"/>
      <c r="AG233" s="652">
        <f>AG228/'3. Earnings Build'!AG448</f>
        <v>41.0474168435952</v>
      </c>
      <c r="AH233" s="653"/>
      <c r="AI233" s="653"/>
      <c r="AJ233" s="653"/>
      <c r="AK233" s="653"/>
      <c r="AL233" s="652">
        <f>AL228/'3. Earnings Build'!AL448</f>
        <v>77.2366930917327</v>
      </c>
      <c r="AM233" s="653"/>
      <c r="AN233" s="653"/>
      <c r="AO233" s="653"/>
      <c r="AP233" s="653"/>
      <c r="AQ233" s="652">
        <f>AQ228/'3. Earnings Build'!AQ448</f>
        <v>116.884286357497</v>
      </c>
      <c r="AR233" s="88"/>
      <c r="AS233" s="88"/>
      <c r="AT233" s="88"/>
      <c r="AU233" s="88"/>
      <c r="AV233" s="652">
        <f>AV228/'3. Earnings Build'!AV448</f>
        <v>87.9152975538518</v>
      </c>
      <c r="AW233" s="88"/>
      <c r="AX233" s="88"/>
      <c r="AY233" s="88"/>
      <c r="AZ233" s="88"/>
      <c r="BA233" s="652">
        <f>BA228/'3. Earnings Build'!BA448</f>
        <v>93.5807727411013</v>
      </c>
      <c r="BB233" s="654">
        <f>BB228/'3. Earnings Build'!BB448</f>
        <v>18.5200659703134</v>
      </c>
      <c r="BC233" s="653">
        <f>BC228/'3. Earnings Build'!BC448</f>
        <v>25.874739039666</v>
      </c>
      <c r="BD233" s="653">
        <f>BD228/'3. Earnings Build'!BD448</f>
        <v>30.5878278080158</v>
      </c>
      <c r="BE233" s="655">
        <f>BE228/'3. Earnings Build'!BE448</f>
        <v>12.5856668248695</v>
      </c>
      <c r="BF233" s="652">
        <f>BF228/'3. Earnings Build'!BF448</f>
        <v>85.3094705443699</v>
      </c>
      <c r="BG233" s="654">
        <f>BG228/'3. Earnings Build'!BG448</f>
        <v>15.466297322253</v>
      </c>
      <c r="BH233" s="653">
        <f>BH228/'3. Earnings Build'!BH448</f>
        <v>10.4113924050633</v>
      </c>
      <c r="BI233" s="653">
        <f>BI228/'3. Earnings Build'!BI448</f>
        <v>16.7465723131358</v>
      </c>
      <c r="BJ233" s="655">
        <f>BJ228/'3. Earnings Build'!BJ448</f>
        <v>24.0814053127678</v>
      </c>
      <c r="BK233" s="652">
        <f>BK228/'3. Earnings Build'!BK448</f>
        <v>66.2560492740871</v>
      </c>
      <c r="BL233" s="654">
        <f>BL228/'3. Earnings Build'!BL448</f>
        <v>5.98830409356725</v>
      </c>
      <c r="BM233" s="653">
        <f>BM228/'3. Earnings Build'!BM448</f>
        <v>13.6232596232596</v>
      </c>
      <c r="BN233" s="653">
        <f>BN228/'3. Earnings Build'!BN448</f>
        <v>24.4831275720165</v>
      </c>
      <c r="BO233" s="655">
        <f>BO228/'3. Earnings Build'!BO448</f>
        <v>22.3582214765101</v>
      </c>
      <c r="BP233" s="652">
        <f>BP228/'3. Earnings Build'!BP448</f>
        <v>66.4732697886448</v>
      </c>
      <c r="BQ233" s="654">
        <f>BQ228/'3. Earnings Build'!BQ448</f>
        <v>15.5820170109356</v>
      </c>
      <c r="BR233" s="653">
        <f>BR228/'3. Earnings Build'!BR448</f>
        <v>21.5232558139535</v>
      </c>
      <c r="BS233" s="653">
        <f>BS228/'3. Earnings Build'!BS448</f>
        <v>28.6435829883327</v>
      </c>
      <c r="BT233" s="655">
        <f>BT228/'3. Earnings Build'!BT448</f>
        <v>31.7597122302158</v>
      </c>
      <c r="BU233" s="652">
        <f>BU228/'3. Earnings Build'!BU448</f>
        <v>96.4179104477612</v>
      </c>
      <c r="BV233" s="654">
        <f>BV228/'3. Earnings Build'!BV448</f>
        <v>26.7704011065007</v>
      </c>
      <c r="BW233" s="653">
        <f>BW228/'3. Earnings Build'!BW448</f>
        <v>28.1298527443106</v>
      </c>
      <c r="BX233" s="653">
        <f>BX228/'3. Earnings Build'!BX448</f>
        <v>30.6711452335253</v>
      </c>
      <c r="BY233" s="653">
        <f>BY228/'3. Earnings Build'!BY448</f>
        <v>26.0809987819732</v>
      </c>
      <c r="BZ233" s="652">
        <f>BZ228/'3. Earnings Build'!BZ448</f>
        <v>109.375</v>
      </c>
      <c r="CA233" s="654">
        <f>CA228/'3. Earnings Build'!CA448</f>
        <v>20.05871886121</v>
      </c>
      <c r="CB233" s="653">
        <f>CB228/'3. Earnings Build'!CB448</f>
        <v>15.839953609742</v>
      </c>
      <c r="CC233" s="653">
        <f>CC228/'3. Earnings Build'!CC448</f>
        <v>21.2880785413745</v>
      </c>
      <c r="CD233" s="653">
        <f>CD228/'3. Earnings Build'!CD448</f>
        <v>19.1609383524277</v>
      </c>
      <c r="CE233" s="652">
        <f>CE228/'3. Earnings Build'!CE448</f>
        <v>75.4479269149684</v>
      </c>
      <c r="CF233" s="653">
        <f>CF228/'3. Earnings Build'!CF448</f>
        <v>9.98118279569892</v>
      </c>
      <c r="CG233" s="653">
        <f>CG228/'3. Earnings Build'!CG448</f>
        <v>15.2142288293071</v>
      </c>
      <c r="CH233" s="653">
        <f>CH228/'3. Earnings Build'!CH448</f>
        <v>33.6140261069875</v>
      </c>
      <c r="CI233" s="653">
        <f>CI228/'3. Earnings Build'!CI448</f>
        <v>37.1906954204022</v>
      </c>
      <c r="CJ233" s="652">
        <f>CJ228/'3. Earnings Build'!CJ448</f>
        <v>96.0876615150747</v>
      </c>
      <c r="CK233" s="653">
        <f>CK228/'3. Earnings Build'!CK448</f>
        <v>11.6570093457944</v>
      </c>
      <c r="CL233" s="653">
        <f>CL228/'3. Earnings Build'!CL448</f>
        <v>27.602537956039</v>
      </c>
      <c r="CM233" s="653">
        <f>CM228/'3. Earnings Build'!CM448</f>
        <v>41.5271084337349</v>
      </c>
      <c r="CN233" s="653">
        <f>CN228/'3. Earnings Build'!CN448</f>
        <v>48.8769385699899</v>
      </c>
      <c r="CO233" s="652">
        <f>CO228/'3. Earnings Build'!CO448</f>
        <v>129.535935167413</v>
      </c>
      <c r="CP233" s="653">
        <f>CP228/'3. Earnings Build'!CP448</f>
        <v>16.0211254081045</v>
      </c>
      <c r="CQ233" s="653">
        <f>CQ228/'3. Earnings Build'!CQ448</f>
        <v>20.0905504414804</v>
      </c>
      <c r="CR233" s="653">
        <f>CR228/'3. Earnings Build'!CR448</f>
        <v>26.7233965014577</v>
      </c>
      <c r="CS233" s="653"/>
      <c r="CT233" s="74"/>
      <c r="CU233" s="653"/>
      <c r="CV233" s="6"/>
      <c r="CW233" s="6"/>
      <c r="CX233" s="6"/>
      <c r="CY233" s="74"/>
      <c r="CZ233" s="6"/>
      <c r="DA233" s="6"/>
      <c r="DB233" s="6"/>
      <c r="DC233" s="6"/>
      <c r="DD233" s="74"/>
      <c r="DE233" s="6"/>
      <c r="DF233" s="6"/>
      <c r="DG233" s="6"/>
      <c r="DH233" s="6"/>
      <c r="DI233" s="74"/>
      <c r="DJ233" s="6"/>
      <c r="DK233" s="6"/>
      <c r="DL233" s="6"/>
      <c r="DM233" s="6"/>
      <c r="DN233" s="74"/>
      <c r="DO233" s="6"/>
      <c r="DP233" s="6"/>
      <c r="DQ233" s="6"/>
      <c r="DR233" s="6"/>
      <c r="DS233" s="74"/>
    </row>
    <row r="234" hidden="1" outlineLevel="1" spans="1:123">
      <c r="A234" s="6"/>
      <c r="B234" s="33"/>
      <c r="C234" s="74"/>
      <c r="D234" s="6"/>
      <c r="E234" s="6"/>
      <c r="F234" s="6"/>
      <c r="G234" s="6"/>
      <c r="H234" s="74"/>
      <c r="I234" s="6"/>
      <c r="J234" s="6"/>
      <c r="K234" s="6"/>
      <c r="L234" s="6"/>
      <c r="M234" s="74"/>
      <c r="N234" s="6"/>
      <c r="O234" s="6"/>
      <c r="P234" s="6"/>
      <c r="Q234" s="6"/>
      <c r="R234" s="74"/>
      <c r="S234" s="6"/>
      <c r="T234" s="6"/>
      <c r="U234" s="6"/>
      <c r="V234" s="6"/>
      <c r="W234" s="74"/>
      <c r="X234" s="6"/>
      <c r="Y234" s="6"/>
      <c r="Z234" s="6"/>
      <c r="AA234" s="6"/>
      <c r="AB234" s="74"/>
      <c r="AC234" s="6"/>
      <c r="AD234" s="6"/>
      <c r="AE234" s="6"/>
      <c r="AF234" s="6"/>
      <c r="AG234" s="74"/>
      <c r="AH234" s="6"/>
      <c r="AI234" s="6"/>
      <c r="AJ234" s="6"/>
      <c r="AK234" s="6"/>
      <c r="AL234" s="74"/>
      <c r="AM234" s="6"/>
      <c r="AN234" s="6"/>
      <c r="AO234" s="6"/>
      <c r="AP234" s="6"/>
      <c r="AQ234" s="74"/>
      <c r="AR234" s="6"/>
      <c r="AS234" s="6"/>
      <c r="AT234" s="6"/>
      <c r="AU234" s="6"/>
      <c r="AV234" s="74"/>
      <c r="AW234" s="6"/>
      <c r="AX234" s="6"/>
      <c r="AY234" s="6"/>
      <c r="AZ234" s="6"/>
      <c r="BA234" s="74"/>
      <c r="BB234" s="6"/>
      <c r="BC234" s="6"/>
      <c r="BD234" s="6"/>
      <c r="BE234" s="6"/>
      <c r="BF234" s="74"/>
      <c r="BG234" s="6"/>
      <c r="BH234" s="6"/>
      <c r="BI234" s="6"/>
      <c r="BJ234" s="6"/>
      <c r="BK234" s="74"/>
      <c r="BL234" s="6"/>
      <c r="BM234" s="6"/>
      <c r="BN234" s="6"/>
      <c r="BO234" s="6"/>
      <c r="BP234" s="74"/>
      <c r="BQ234" s="6"/>
      <c r="BR234" s="6"/>
      <c r="BS234" s="6"/>
      <c r="BT234" s="6"/>
      <c r="BU234" s="74"/>
      <c r="BV234" s="6"/>
      <c r="BW234" s="6"/>
      <c r="BX234" s="6"/>
      <c r="BY234" s="6"/>
      <c r="BZ234" s="74"/>
      <c r="CA234" s="6"/>
      <c r="CB234" s="6"/>
      <c r="CC234" s="6"/>
      <c r="CD234" s="6"/>
      <c r="CE234" s="74"/>
      <c r="CF234" s="6"/>
      <c r="CG234" s="6"/>
      <c r="CH234" s="6"/>
      <c r="CI234" s="6"/>
      <c r="CJ234" s="74"/>
      <c r="CK234" s="6"/>
      <c r="CL234" s="6"/>
      <c r="CM234" s="6"/>
      <c r="CN234" s="6"/>
      <c r="CO234" s="74"/>
      <c r="CP234" s="6"/>
      <c r="CQ234" s="6"/>
      <c r="CR234" s="6"/>
      <c r="CS234" s="6"/>
      <c r="CT234" s="74"/>
      <c r="CU234" s="6"/>
      <c r="CV234" s="6"/>
      <c r="CW234" s="6"/>
      <c r="CX234" s="6"/>
      <c r="CY234" s="74"/>
      <c r="CZ234" s="6"/>
      <c r="DA234" s="6"/>
      <c r="DB234" s="6"/>
      <c r="DC234" s="6"/>
      <c r="DD234" s="74"/>
      <c r="DE234" s="6"/>
      <c r="DF234" s="6"/>
      <c r="DG234" s="6"/>
      <c r="DH234" s="6"/>
      <c r="DI234" s="74"/>
      <c r="DJ234" s="6"/>
      <c r="DK234" s="6"/>
      <c r="DL234" s="6"/>
      <c r="DM234" s="6"/>
      <c r="DN234" s="74"/>
      <c r="DO234" s="6"/>
      <c r="DP234" s="6"/>
      <c r="DQ234" s="6"/>
      <c r="DR234" s="6"/>
      <c r="DS234" s="74"/>
    </row>
    <row r="235" s="3" customFormat="1" hidden="1" outlineLevel="1" spans="1:123">
      <c r="B235" s="130" t="s">
        <v>170</v>
      </c>
      <c r="C235" s="39"/>
      <c r="D235" s="89"/>
      <c r="E235" s="89"/>
      <c r="F235" s="89"/>
      <c r="G235" s="89"/>
      <c r="H235" s="39"/>
      <c r="I235" s="89"/>
      <c r="J235" s="89"/>
      <c r="K235" s="89"/>
      <c r="L235" s="89"/>
      <c r="M235" s="39"/>
      <c r="N235" s="89"/>
      <c r="O235" s="89"/>
      <c r="P235" s="89"/>
      <c r="Q235" s="89"/>
      <c r="R235" s="39"/>
      <c r="S235" s="89"/>
      <c r="T235" s="89"/>
      <c r="U235" s="89"/>
      <c r="V235" s="89"/>
      <c r="W235" s="39"/>
      <c r="X235" s="89"/>
      <c r="Y235" s="89"/>
      <c r="Z235" s="89"/>
      <c r="AA235" s="89"/>
      <c r="AB235" s="39">
        <f>AB228-AB241</f>
        <v>5.4</v>
      </c>
      <c r="AC235" s="89"/>
      <c r="AD235" s="89"/>
      <c r="AE235" s="89"/>
      <c r="AF235" s="89"/>
      <c r="AG235" s="39">
        <f>AG228-AG241</f>
        <v>7.5</v>
      </c>
      <c r="AH235" s="89"/>
      <c r="AI235" s="89"/>
      <c r="AJ235" s="89"/>
      <c r="AK235" s="89"/>
      <c r="AL235" s="39">
        <f>AL228-AL241</f>
        <v>12.2</v>
      </c>
      <c r="AM235" s="89"/>
      <c r="AN235" s="89"/>
      <c r="AO235" s="89"/>
      <c r="AP235" s="89"/>
      <c r="AQ235" s="39">
        <f>AQ228-AQ241</f>
        <v>35.1</v>
      </c>
      <c r="AR235" s="89"/>
      <c r="AS235" s="89"/>
      <c r="AT235" s="89"/>
      <c r="AU235" s="89"/>
      <c r="AV235" s="39">
        <f>AV228-AV241</f>
        <v>28.9</v>
      </c>
      <c r="AW235" s="89"/>
      <c r="AX235" s="89"/>
      <c r="AY235" s="89"/>
      <c r="AZ235" s="89"/>
      <c r="BA235" s="39">
        <f>BA228-BA241</f>
        <v>38.8</v>
      </c>
      <c r="BB235" s="175"/>
      <c r="BC235" s="89"/>
      <c r="BD235" s="89"/>
      <c r="BE235" s="656"/>
      <c r="BF235" s="39">
        <f>BF228-BF241</f>
        <v>36.6</v>
      </c>
      <c r="BG235" s="175"/>
      <c r="BH235" s="89"/>
      <c r="BI235" s="89"/>
      <c r="BJ235" s="656"/>
      <c r="BK235" s="39">
        <f>BK228-BK241</f>
        <v>44.7</v>
      </c>
      <c r="BL235" s="175"/>
      <c r="BM235" s="89"/>
      <c r="BN235" s="89"/>
      <c r="BO235" s="656"/>
      <c r="BP235" s="39">
        <f>BP228-BP241</f>
        <v>50.9</v>
      </c>
      <c r="BQ235" s="175"/>
      <c r="BR235" s="89"/>
      <c r="BS235" s="89"/>
      <c r="BT235" s="89"/>
      <c r="BU235" s="39">
        <f>BU228-BU241</f>
        <v>102.1</v>
      </c>
      <c r="BV235" s="89"/>
      <c r="BW235" s="89"/>
      <c r="BX235" s="89"/>
      <c r="BY235" s="89"/>
      <c r="BZ235" s="39">
        <f>BZ228-BZ241</f>
        <v>127.2</v>
      </c>
      <c r="CE235" s="39">
        <f>CE228-CE241</f>
        <v>93.203</v>
      </c>
      <c r="CJ235" s="657">
        <f>CJ228-CJ241</f>
        <v>142.529</v>
      </c>
      <c r="CK235" s="93"/>
      <c r="CL235" s="93"/>
      <c r="CM235" s="93"/>
      <c r="CN235" s="93"/>
      <c r="CO235" s="657">
        <f>CO228-CO241</f>
        <v>224.797</v>
      </c>
      <c r="CP235" s="93"/>
      <c r="CQ235" s="93"/>
      <c r="CR235" s="93"/>
      <c r="CT235" s="658"/>
      <c r="CY235" s="644"/>
      <c r="DD235" s="644"/>
      <c r="DI235" s="644"/>
      <c r="DN235" s="644"/>
      <c r="DS235" s="644"/>
    </row>
    <row r="236" hidden="1" outlineLevel="1" spans="1:123">
      <c r="A236" s="6"/>
      <c r="B236" s="33" t="s">
        <v>171</v>
      </c>
      <c r="C236" s="60"/>
      <c r="D236" s="88"/>
      <c r="E236" s="88"/>
      <c r="F236" s="88"/>
      <c r="G236" s="88"/>
      <c r="H236" s="60"/>
      <c r="I236" s="88"/>
      <c r="J236" s="88"/>
      <c r="K236" s="88"/>
      <c r="L236" s="88"/>
      <c r="M236" s="60"/>
      <c r="N236" s="88"/>
      <c r="O236" s="88"/>
      <c r="P236" s="88"/>
      <c r="Q236" s="88"/>
      <c r="R236" s="60"/>
      <c r="S236" s="88"/>
      <c r="T236" s="88"/>
      <c r="U236" s="88"/>
      <c r="V236" s="88"/>
      <c r="W236" s="60"/>
      <c r="X236" s="88"/>
      <c r="Y236" s="88"/>
      <c r="Z236" s="88"/>
      <c r="AA236" s="88"/>
      <c r="AB236" s="60">
        <f>'3. Earnings Build'!AB396-AB242</f>
        <v>103</v>
      </c>
      <c r="AC236" s="88"/>
      <c r="AD236" s="88"/>
      <c r="AE236" s="88"/>
      <c r="AF236" s="88"/>
      <c r="AG236" s="60">
        <f>'3. Earnings Build'!AG396-AG242</f>
        <v>119</v>
      </c>
      <c r="AH236" s="88"/>
      <c r="AI236" s="88"/>
      <c r="AJ236" s="88"/>
      <c r="AK236" s="88"/>
      <c r="AL236" s="60">
        <f>'3. Earnings Build'!AL396-AL242</f>
        <v>133</v>
      </c>
      <c r="AM236" s="88"/>
      <c r="AN236" s="88"/>
      <c r="AO236" s="88"/>
      <c r="AP236" s="88"/>
      <c r="AQ236" s="60">
        <f>'3. Earnings Build'!AQ396-AQ242</f>
        <v>174</v>
      </c>
      <c r="AR236" s="88"/>
      <c r="AS236" s="88"/>
      <c r="AT236" s="88"/>
      <c r="AU236" s="88"/>
      <c r="AV236" s="60">
        <f>'3. Earnings Build'!AV396-AV242</f>
        <v>209</v>
      </c>
      <c r="AW236" s="88"/>
      <c r="AX236" s="88"/>
      <c r="AY236" s="88"/>
      <c r="AZ236" s="88"/>
      <c r="BA236" s="60">
        <f>'3. Earnings Build'!BA396-BA242</f>
        <v>253</v>
      </c>
      <c r="BB236" s="208"/>
      <c r="BC236" s="88"/>
      <c r="BD236" s="88"/>
      <c r="BE236" s="659"/>
      <c r="BF236" s="60">
        <f>'3. Earnings Build'!BF396-BF242</f>
        <v>301</v>
      </c>
      <c r="BG236" s="208"/>
      <c r="BH236" s="88"/>
      <c r="BI236" s="88"/>
      <c r="BJ236" s="659"/>
      <c r="BK236" s="60">
        <f>'3. Earnings Build'!BK396-BK242</f>
        <v>360</v>
      </c>
      <c r="BL236" s="208"/>
      <c r="BM236" s="88"/>
      <c r="BN236" s="88"/>
      <c r="BO236" s="659"/>
      <c r="BP236" s="60">
        <f>'3. Earnings Build'!BP396-BP242</f>
        <v>355</v>
      </c>
      <c r="BQ236" s="208"/>
      <c r="BR236" s="88"/>
      <c r="BS236" s="88"/>
      <c r="BT236" s="88"/>
      <c r="BU236" s="60">
        <f>'3. Earnings Build'!BU396-BU242</f>
        <v>401</v>
      </c>
      <c r="BV236" s="88"/>
      <c r="BW236" s="88"/>
      <c r="BX236" s="88"/>
      <c r="BY236" s="88"/>
      <c r="BZ236" s="60">
        <f>'3. Earnings Build'!BZ396-BZ242</f>
        <v>434</v>
      </c>
      <c r="CA236" s="6"/>
      <c r="CB236" s="6"/>
      <c r="CC236" s="6"/>
      <c r="CD236" s="6"/>
      <c r="CE236" s="60">
        <f>'3. Earnings Build'!CE396-CE242</f>
        <v>481</v>
      </c>
      <c r="CF236" s="6"/>
      <c r="CG236" s="6"/>
      <c r="CH236" s="6"/>
      <c r="CI236" s="6"/>
      <c r="CJ236" s="660">
        <f>'3. Earnings Build'!CJ396-CJ242</f>
        <v>518</v>
      </c>
      <c r="CK236" s="92"/>
      <c r="CL236" s="92"/>
      <c r="CM236" s="92"/>
      <c r="CN236" s="92"/>
      <c r="CO236" s="660">
        <f>'3. Earnings Build'!CO396-CO242</f>
        <v>568</v>
      </c>
      <c r="CP236" s="92"/>
      <c r="CQ236" s="92"/>
      <c r="CR236" s="92"/>
      <c r="CS236" s="6"/>
      <c r="CT236" s="661"/>
      <c r="CU236" s="6"/>
      <c r="CV236" s="6"/>
      <c r="CW236" s="6"/>
      <c r="CX236" s="6"/>
      <c r="CY236" s="74"/>
      <c r="CZ236" s="6"/>
      <c r="DA236" s="6"/>
      <c r="DB236" s="6"/>
      <c r="DC236" s="6"/>
      <c r="DD236" s="74"/>
      <c r="DE236" s="6"/>
      <c r="DF236" s="6"/>
      <c r="DG236" s="6"/>
      <c r="DH236" s="6"/>
      <c r="DI236" s="74"/>
      <c r="DJ236" s="6"/>
      <c r="DK236" s="6"/>
      <c r="DL236" s="6"/>
      <c r="DM236" s="6"/>
      <c r="DN236" s="74"/>
      <c r="DO236" s="6"/>
      <c r="DP236" s="6"/>
      <c r="DQ236" s="6"/>
      <c r="DR236" s="6"/>
      <c r="DS236" s="74"/>
    </row>
    <row r="237" hidden="1" outlineLevel="1" spans="1:123">
      <c r="A237" s="6"/>
      <c r="B237" s="33" t="s">
        <v>172</v>
      </c>
      <c r="C237" s="60"/>
      <c r="D237" s="88"/>
      <c r="E237" s="88"/>
      <c r="F237" s="88"/>
      <c r="G237" s="88"/>
      <c r="H237" s="60"/>
      <c r="I237" s="88"/>
      <c r="J237" s="88"/>
      <c r="K237" s="88"/>
      <c r="L237" s="88"/>
      <c r="M237" s="60"/>
      <c r="N237" s="88"/>
      <c r="O237" s="88"/>
      <c r="P237" s="88"/>
      <c r="Q237" s="88"/>
      <c r="R237" s="60"/>
      <c r="S237" s="88"/>
      <c r="T237" s="88"/>
      <c r="U237" s="88"/>
      <c r="V237" s="88"/>
      <c r="W237" s="60"/>
      <c r="X237" s="88"/>
      <c r="Y237" s="88"/>
      <c r="Z237" s="88"/>
      <c r="AA237" s="88"/>
      <c r="AB237" s="60">
        <f>AB235/AB236</f>
        <v>0.0524271844660194</v>
      </c>
      <c r="AC237" s="88"/>
      <c r="AD237" s="88"/>
      <c r="AE237" s="88"/>
      <c r="AF237" s="88"/>
      <c r="AG237" s="60">
        <f>AG235/AG236</f>
        <v>0.0630252100840336</v>
      </c>
      <c r="AH237" s="88"/>
      <c r="AI237" s="88"/>
      <c r="AJ237" s="88"/>
      <c r="AK237" s="88"/>
      <c r="AL237" s="60">
        <f>AL235/AL236</f>
        <v>0.0917293233082707</v>
      </c>
      <c r="AM237" s="88"/>
      <c r="AN237" s="88"/>
      <c r="AO237" s="88"/>
      <c r="AP237" s="88"/>
      <c r="AQ237" s="60">
        <f>AQ235/AQ236</f>
        <v>0.201724137931035</v>
      </c>
      <c r="AR237" s="88"/>
      <c r="AS237" s="88"/>
      <c r="AT237" s="88"/>
      <c r="AU237" s="88"/>
      <c r="AV237" s="60">
        <f>AV235/AV236</f>
        <v>0.138277511961722</v>
      </c>
      <c r="AW237" s="88"/>
      <c r="AX237" s="88"/>
      <c r="AY237" s="88"/>
      <c r="AZ237" s="88"/>
      <c r="BA237" s="60">
        <f>BA235/BA236</f>
        <v>0.153359683794466</v>
      </c>
      <c r="BB237" s="208"/>
      <c r="BC237" s="88"/>
      <c r="BD237" s="88"/>
      <c r="BE237" s="659"/>
      <c r="BF237" s="60">
        <f>BF235/BF236</f>
        <v>0.121594684385382</v>
      </c>
      <c r="BG237" s="208"/>
      <c r="BH237" s="88"/>
      <c r="BI237" s="88"/>
      <c r="BJ237" s="659"/>
      <c r="BK237" s="60">
        <f>BK235/BK236</f>
        <v>0.124166666666667</v>
      </c>
      <c r="BL237" s="208"/>
      <c r="BM237" s="88"/>
      <c r="BN237" s="88"/>
      <c r="BO237" s="659"/>
      <c r="BP237" s="60">
        <f>BP235/BP236</f>
        <v>0.143380281690141</v>
      </c>
      <c r="BQ237" s="208"/>
      <c r="BR237" s="88"/>
      <c r="BS237" s="88"/>
      <c r="BT237" s="88"/>
      <c r="BU237" s="60">
        <f>BU235/BU236</f>
        <v>0.254613466334165</v>
      </c>
      <c r="BV237" s="88"/>
      <c r="BW237" s="88"/>
      <c r="BX237" s="88"/>
      <c r="BY237" s="88"/>
      <c r="BZ237" s="60">
        <f>BZ235/BZ236</f>
        <v>0.293087557603687</v>
      </c>
      <c r="CA237" s="6"/>
      <c r="CB237" s="6"/>
      <c r="CC237" s="6"/>
      <c r="CD237" s="6"/>
      <c r="CE237" s="60">
        <f>CE235/CE236</f>
        <v>0.193769230769231</v>
      </c>
      <c r="CF237" s="6"/>
      <c r="CG237" s="6"/>
      <c r="CH237" s="6"/>
      <c r="CI237" s="6"/>
      <c r="CJ237" s="660">
        <f>CJ235/CJ236</f>
        <v>0.27515250965251</v>
      </c>
      <c r="CK237" s="92"/>
      <c r="CL237" s="92"/>
      <c r="CM237" s="92"/>
      <c r="CN237" s="92"/>
      <c r="CO237" s="660">
        <f>CO235/CO236</f>
        <v>0.395769366197183</v>
      </c>
      <c r="CP237" s="92"/>
      <c r="CQ237" s="92"/>
      <c r="CR237" s="92"/>
      <c r="CS237" s="6"/>
      <c r="CT237" s="661"/>
      <c r="CU237" s="6"/>
      <c r="CV237" s="6"/>
      <c r="CW237" s="6"/>
      <c r="CX237" s="6"/>
      <c r="CY237" s="74"/>
      <c r="CZ237" s="6"/>
      <c r="DA237" s="6"/>
      <c r="DB237" s="6"/>
      <c r="DC237" s="6"/>
      <c r="DD237" s="74"/>
      <c r="DE237" s="6"/>
      <c r="DF237" s="6"/>
      <c r="DG237" s="6"/>
      <c r="DH237" s="6"/>
      <c r="DI237" s="74"/>
      <c r="DJ237" s="6"/>
      <c r="DK237" s="6"/>
      <c r="DL237" s="6"/>
      <c r="DM237" s="6"/>
      <c r="DN237" s="74"/>
      <c r="DO237" s="6"/>
      <c r="DP237" s="6"/>
      <c r="DQ237" s="6"/>
      <c r="DR237" s="6"/>
      <c r="DS237" s="74"/>
    </row>
    <row r="238" hidden="1" outlineLevel="1" spans="1:123">
      <c r="A238" s="6"/>
      <c r="B238" s="33" t="s">
        <v>173</v>
      </c>
      <c r="C238" s="60"/>
      <c r="D238" s="88"/>
      <c r="E238" s="88"/>
      <c r="F238" s="88"/>
      <c r="G238" s="88"/>
      <c r="H238" s="60"/>
      <c r="I238" s="88"/>
      <c r="J238" s="88"/>
      <c r="K238" s="88"/>
      <c r="L238" s="88"/>
      <c r="M238" s="60"/>
      <c r="N238" s="88"/>
      <c r="O238" s="88"/>
      <c r="P238" s="88"/>
      <c r="Q238" s="88"/>
      <c r="R238" s="60"/>
      <c r="S238" s="88"/>
      <c r="T238" s="88"/>
      <c r="U238" s="88"/>
      <c r="V238" s="88"/>
      <c r="W238" s="60"/>
      <c r="X238" s="88"/>
      <c r="Y238" s="88"/>
      <c r="Z238" s="88"/>
      <c r="AA238" s="88"/>
      <c r="AB238" s="60">
        <f>AB236*'3. Earnings Build'!AB448</f>
        <v>29.593445</v>
      </c>
      <c r="AC238" s="88"/>
      <c r="AD238" s="88"/>
      <c r="AE238" s="88"/>
      <c r="AF238" s="88"/>
      <c r="AG238" s="60">
        <f>AG236*'3. Earnings Build'!AG448</f>
        <v>42.03675</v>
      </c>
      <c r="AH238" s="88"/>
      <c r="AI238" s="88"/>
      <c r="AJ238" s="88"/>
      <c r="AK238" s="88"/>
      <c r="AL238" s="60">
        <f>AL236*'3. Earnings Build'!AL448</f>
        <v>58.7195</v>
      </c>
      <c r="AM238" s="88"/>
      <c r="AN238" s="88"/>
      <c r="AO238" s="88"/>
      <c r="AP238" s="88"/>
      <c r="AQ238" s="60">
        <f>AQ236*'3. Earnings Build'!AQ448</f>
        <v>96.6135</v>
      </c>
      <c r="AR238" s="88"/>
      <c r="AS238" s="88"/>
      <c r="AT238" s="88"/>
      <c r="AU238" s="88"/>
      <c r="AV238" s="60">
        <f>AV236*'3. Earnings Build'!AV448</f>
        <v>143.11275</v>
      </c>
      <c r="AW238" s="88"/>
      <c r="AX238" s="88"/>
      <c r="AY238" s="88"/>
      <c r="AZ238" s="88"/>
      <c r="BA238" s="60">
        <f>BA236*'3. Earnings Build'!BA448</f>
        <v>207.90275</v>
      </c>
      <c r="BB238" s="208"/>
      <c r="BC238" s="88"/>
      <c r="BD238" s="88"/>
      <c r="BE238" s="659"/>
      <c r="BF238" s="60">
        <f>BF236*'3. Earnings Build'!BF448</f>
        <v>302.73075</v>
      </c>
      <c r="BG238" s="208"/>
      <c r="BH238" s="88"/>
      <c r="BI238" s="88"/>
      <c r="BJ238" s="659"/>
      <c r="BK238" s="60">
        <f>BK236*'3. Earnings Build'!BK448</f>
        <v>409.14</v>
      </c>
      <c r="BL238" s="208"/>
      <c r="BM238" s="88"/>
      <c r="BN238" s="88"/>
      <c r="BO238" s="659"/>
      <c r="BP238" s="60">
        <f>BP236*'3. Earnings Build'!BP448</f>
        <v>428.3075</v>
      </c>
      <c r="BQ238" s="208"/>
      <c r="BR238" s="88"/>
      <c r="BS238" s="88"/>
      <c r="BT238" s="88"/>
      <c r="BU238" s="60">
        <f>BU236*'3. Earnings Build'!BU448</f>
        <v>537.34</v>
      </c>
      <c r="BV238" s="88"/>
      <c r="BW238" s="88"/>
      <c r="BX238" s="88"/>
      <c r="BY238" s="88"/>
      <c r="BZ238" s="60">
        <f>BZ236*'3. Earnings Build'!BZ448</f>
        <v>680.512</v>
      </c>
      <c r="CA238" s="6"/>
      <c r="CB238" s="6"/>
      <c r="CC238" s="6"/>
      <c r="CD238" s="6"/>
      <c r="CE238" s="60">
        <f>CE236*'3. Earnings Build'!CE448</f>
        <v>855.57875</v>
      </c>
      <c r="CF238" s="6"/>
      <c r="CG238" s="6"/>
      <c r="CH238" s="6"/>
      <c r="CI238" s="6"/>
      <c r="CJ238" s="660">
        <f>CJ236*'3. Earnings Build'!CJ448</f>
        <v>1022.273</v>
      </c>
      <c r="CK238" s="92"/>
      <c r="CL238" s="92"/>
      <c r="CM238" s="92"/>
      <c r="CN238" s="92"/>
      <c r="CO238" s="660">
        <f>CO236*'3. Earnings Build'!CO448</f>
        <v>1331.676</v>
      </c>
      <c r="CP238" s="92"/>
      <c r="CQ238" s="92"/>
      <c r="CR238" s="92"/>
      <c r="CS238" s="6"/>
      <c r="CT238" s="661"/>
      <c r="CU238" s="6"/>
      <c r="CV238" s="6"/>
      <c r="CW238" s="6"/>
      <c r="CX238" s="6"/>
      <c r="CY238" s="74"/>
      <c r="CZ238" s="6"/>
      <c r="DA238" s="6"/>
      <c r="DB238" s="6"/>
      <c r="DC238" s="6"/>
      <c r="DD238" s="74"/>
      <c r="DE238" s="6"/>
      <c r="DF238" s="6"/>
      <c r="DG238" s="6"/>
      <c r="DH238" s="6"/>
      <c r="DI238" s="74"/>
      <c r="DJ238" s="6"/>
      <c r="DK238" s="6"/>
      <c r="DL238" s="6"/>
      <c r="DM238" s="6"/>
      <c r="DN238" s="74"/>
      <c r="DO238" s="6"/>
      <c r="DP238" s="6"/>
      <c r="DQ238" s="6"/>
      <c r="DR238" s="6"/>
      <c r="DS238" s="74"/>
    </row>
    <row r="239" hidden="1" outlineLevel="1" spans="1:123">
      <c r="A239" s="6"/>
      <c r="B239" s="33" t="s">
        <v>174</v>
      </c>
      <c r="C239" s="60"/>
      <c r="D239" s="88"/>
      <c r="E239" s="88"/>
      <c r="F239" s="88"/>
      <c r="G239" s="88"/>
      <c r="H239" s="60"/>
      <c r="I239" s="88"/>
      <c r="J239" s="88"/>
      <c r="K239" s="88"/>
      <c r="L239" s="88"/>
      <c r="M239" s="60"/>
      <c r="N239" s="88"/>
      <c r="O239" s="88"/>
      <c r="P239" s="88"/>
      <c r="Q239" s="88"/>
      <c r="R239" s="60"/>
      <c r="S239" s="88"/>
      <c r="T239" s="88"/>
      <c r="U239" s="88"/>
      <c r="V239" s="88"/>
      <c r="W239" s="60"/>
      <c r="X239" s="88"/>
      <c r="Y239" s="88"/>
      <c r="Z239" s="88"/>
      <c r="AA239" s="88"/>
      <c r="AB239" s="60">
        <f>AB235/AB238</f>
        <v>0.18247284153636</v>
      </c>
      <c r="AC239" s="88"/>
      <c r="AD239" s="88"/>
      <c r="AE239" s="88"/>
      <c r="AF239" s="88"/>
      <c r="AG239" s="60">
        <f>AG235/AG238</f>
        <v>0.178415315170654</v>
      </c>
      <c r="AH239" s="88"/>
      <c r="AI239" s="88"/>
      <c r="AJ239" s="88"/>
      <c r="AK239" s="88"/>
      <c r="AL239" s="60">
        <f>AL235/AL238</f>
        <v>0.207767436711825</v>
      </c>
      <c r="AM239" s="88"/>
      <c r="AN239" s="88"/>
      <c r="AO239" s="88"/>
      <c r="AP239" s="88"/>
      <c r="AQ239" s="60">
        <f>AQ235/AQ238</f>
        <v>0.363303265071652</v>
      </c>
      <c r="AR239" s="88"/>
      <c r="AS239" s="88"/>
      <c r="AT239" s="88"/>
      <c r="AU239" s="88"/>
      <c r="AV239" s="60">
        <f>AV235/AV238</f>
        <v>0.201938681214637</v>
      </c>
      <c r="AW239" s="88"/>
      <c r="AX239" s="88"/>
      <c r="AY239" s="88"/>
      <c r="AZ239" s="88"/>
      <c r="BA239" s="60">
        <f>BA235/BA238</f>
        <v>0.186625718034033</v>
      </c>
      <c r="BB239" s="88"/>
      <c r="BC239" s="88"/>
      <c r="BD239" s="88"/>
      <c r="BE239" s="88"/>
      <c r="BF239" s="60">
        <f>BF235/BF238</f>
        <v>0.120899512190288</v>
      </c>
      <c r="BG239" s="88"/>
      <c r="BH239" s="88"/>
      <c r="BI239" s="88"/>
      <c r="BJ239" s="88"/>
      <c r="BK239" s="60">
        <f>BK235/BK238</f>
        <v>0.109253556239918</v>
      </c>
      <c r="BL239" s="88"/>
      <c r="BM239" s="88"/>
      <c r="BN239" s="88"/>
      <c r="BO239" s="88"/>
      <c r="BP239" s="60">
        <f>BP235/BP238</f>
        <v>0.118839852208985</v>
      </c>
      <c r="BQ239" s="88"/>
      <c r="BR239" s="88"/>
      <c r="BS239" s="88"/>
      <c r="BT239" s="88"/>
      <c r="BU239" s="60">
        <f>BU235/BU238</f>
        <v>0.190010049503108</v>
      </c>
      <c r="BV239" s="88"/>
      <c r="BW239" s="88"/>
      <c r="BX239" s="88"/>
      <c r="BY239" s="88"/>
      <c r="BZ239" s="60">
        <f>BZ235/BZ238</f>
        <v>0.186918085206433</v>
      </c>
      <c r="CA239" s="6"/>
      <c r="CB239" s="6"/>
      <c r="CC239" s="6"/>
      <c r="CD239" s="6"/>
      <c r="CE239" s="60">
        <f>CE235/CE238</f>
        <v>0.108935618141521</v>
      </c>
      <c r="CF239" s="6"/>
      <c r="CG239" s="6"/>
      <c r="CH239" s="6"/>
      <c r="CI239" s="6"/>
      <c r="CJ239" s="660">
        <f>CJ235/CJ238</f>
        <v>0.139423617761596</v>
      </c>
      <c r="CK239" s="92"/>
      <c r="CL239" s="92"/>
      <c r="CM239" s="92"/>
      <c r="CN239" s="92"/>
      <c r="CO239" s="660">
        <f>CO235/CO238</f>
        <v>0.168807577819229</v>
      </c>
      <c r="CP239" s="92"/>
      <c r="CQ239" s="92"/>
      <c r="CR239" s="92"/>
      <c r="CS239" s="6"/>
      <c r="CT239" s="661"/>
      <c r="CU239" s="6"/>
      <c r="CV239" s="6"/>
      <c r="CW239" s="6"/>
      <c r="CX239" s="6"/>
      <c r="CY239" s="74"/>
      <c r="CZ239" s="6"/>
      <c r="DA239" s="6"/>
      <c r="DB239" s="6"/>
      <c r="DC239" s="6"/>
      <c r="DD239" s="74"/>
      <c r="DE239" s="6"/>
      <c r="DF239" s="6"/>
      <c r="DG239" s="6"/>
      <c r="DH239" s="6"/>
      <c r="DI239" s="74"/>
      <c r="DJ239" s="6"/>
      <c r="DK239" s="6"/>
      <c r="DL239" s="6"/>
      <c r="DM239" s="6"/>
      <c r="DN239" s="74"/>
      <c r="DO239" s="6"/>
      <c r="DP239" s="6"/>
      <c r="DQ239" s="6"/>
      <c r="DR239" s="6"/>
      <c r="DS239" s="74"/>
    </row>
    <row r="240" hidden="1" outlineLevel="1" spans="1:123">
      <c r="A240" s="6"/>
      <c r="B240" s="33"/>
      <c r="C240" s="60"/>
      <c r="D240" s="88"/>
      <c r="E240" s="88"/>
      <c r="F240" s="88"/>
      <c r="G240" s="88"/>
      <c r="H240" s="60"/>
      <c r="I240" s="88"/>
      <c r="J240" s="88"/>
      <c r="K240" s="88"/>
      <c r="L240" s="88"/>
      <c r="M240" s="60"/>
      <c r="N240" s="88"/>
      <c r="O240" s="88"/>
      <c r="P240" s="88"/>
      <c r="Q240" s="88"/>
      <c r="R240" s="60"/>
      <c r="S240" s="88"/>
      <c r="T240" s="88"/>
      <c r="U240" s="88"/>
      <c r="V240" s="88"/>
      <c r="W240" s="60"/>
      <c r="X240" s="88"/>
      <c r="Y240" s="88"/>
      <c r="Z240" s="88"/>
      <c r="AA240" s="88"/>
      <c r="AB240" s="60"/>
      <c r="AC240" s="88"/>
      <c r="AD240" s="88"/>
      <c r="AE240" s="88"/>
      <c r="AF240" s="88"/>
      <c r="AG240" s="60"/>
      <c r="AH240" s="88"/>
      <c r="AI240" s="88"/>
      <c r="AJ240" s="88"/>
      <c r="AK240" s="88"/>
      <c r="AL240" s="60"/>
      <c r="AM240" s="88"/>
      <c r="AN240" s="88"/>
      <c r="AO240" s="88"/>
      <c r="AP240" s="88"/>
      <c r="AQ240" s="60"/>
      <c r="AR240" s="88"/>
      <c r="AS240" s="88"/>
      <c r="AT240" s="88"/>
      <c r="AU240" s="88"/>
      <c r="AV240" s="60"/>
      <c r="AW240" s="88"/>
      <c r="AX240" s="88"/>
      <c r="AY240" s="88"/>
      <c r="AZ240" s="88"/>
      <c r="BA240" s="60"/>
      <c r="BB240" s="88"/>
      <c r="BC240" s="88"/>
      <c r="BD240" s="88"/>
      <c r="BE240" s="88"/>
      <c r="BF240" s="60"/>
      <c r="BG240" s="88"/>
      <c r="BH240" s="88"/>
      <c r="BI240" s="88"/>
      <c r="BJ240" s="88"/>
      <c r="BK240" s="60"/>
      <c r="BL240" s="88"/>
      <c r="BM240" s="88"/>
      <c r="BN240" s="88"/>
      <c r="BO240" s="88"/>
      <c r="BP240" s="60"/>
      <c r="BQ240" s="88"/>
      <c r="BR240" s="88"/>
      <c r="BS240" s="88"/>
      <c r="BT240" s="88"/>
      <c r="BU240" s="60"/>
      <c r="BV240" s="88"/>
      <c r="BW240" s="88"/>
      <c r="BX240" s="88"/>
      <c r="BY240" s="88"/>
      <c r="BZ240" s="60"/>
      <c r="CA240" s="6"/>
      <c r="CB240" s="6"/>
      <c r="CC240" s="6"/>
      <c r="CD240" s="6"/>
      <c r="CE240" s="74"/>
      <c r="CF240" s="6"/>
      <c r="CG240" s="6"/>
      <c r="CH240" s="6"/>
      <c r="CI240" s="6"/>
      <c r="CJ240" s="662"/>
      <c r="CK240" s="92"/>
      <c r="CL240" s="92"/>
      <c r="CM240" s="92"/>
      <c r="CN240" s="92"/>
      <c r="CO240" s="662"/>
      <c r="CP240" s="92"/>
      <c r="CQ240" s="92"/>
      <c r="CR240" s="92"/>
      <c r="CS240" s="6"/>
      <c r="CT240" s="663"/>
      <c r="CU240" s="6"/>
      <c r="CV240" s="6"/>
      <c r="CW240" s="6"/>
      <c r="CX240" s="6"/>
      <c r="CY240" s="74"/>
      <c r="CZ240" s="6"/>
      <c r="DA240" s="6"/>
      <c r="DB240" s="6"/>
      <c r="DC240" s="6"/>
      <c r="DD240" s="74"/>
      <c r="DE240" s="6"/>
      <c r="DF240" s="6"/>
      <c r="DG240" s="6"/>
      <c r="DH240" s="6"/>
      <c r="DI240" s="74"/>
      <c r="DJ240" s="6"/>
      <c r="DK240" s="6"/>
      <c r="DL240" s="6"/>
      <c r="DM240" s="6"/>
      <c r="DN240" s="74"/>
      <c r="DO240" s="6"/>
      <c r="DP240" s="6"/>
      <c r="DQ240" s="6"/>
      <c r="DR240" s="6"/>
      <c r="DS240" s="74"/>
    </row>
    <row r="241" s="3" customFormat="1" hidden="1" outlineLevel="1" spans="1:123">
      <c r="B241" s="130" t="s">
        <v>175</v>
      </c>
      <c r="C241" s="39"/>
      <c r="D241" s="89"/>
      <c r="E241" s="89"/>
      <c r="F241" s="89"/>
      <c r="G241" s="89"/>
      <c r="H241" s="39"/>
      <c r="I241" s="89"/>
      <c r="J241" s="89"/>
      <c r="K241" s="89"/>
      <c r="L241" s="89"/>
      <c r="M241" s="39"/>
      <c r="N241" s="89"/>
      <c r="O241" s="89"/>
      <c r="P241" s="89"/>
      <c r="Q241" s="89"/>
      <c r="R241" s="39"/>
      <c r="S241" s="89"/>
      <c r="T241" s="89"/>
      <c r="U241" s="89"/>
      <c r="V241" s="89"/>
      <c r="W241" s="39"/>
      <c r="X241" s="89"/>
      <c r="Y241" s="89"/>
      <c r="Z241" s="89"/>
      <c r="AA241" s="89"/>
      <c r="AB241" s="39">
        <v>4.8</v>
      </c>
      <c r="AC241" s="89"/>
      <c r="AD241" s="89"/>
      <c r="AE241" s="89"/>
      <c r="AF241" s="89"/>
      <c r="AG241" s="39">
        <v>7</v>
      </c>
      <c r="AH241" s="89"/>
      <c r="AI241" s="89"/>
      <c r="AJ241" s="89"/>
      <c r="AK241" s="89"/>
      <c r="AL241" s="39">
        <v>21.9</v>
      </c>
      <c r="AM241" s="89"/>
      <c r="AN241" s="89"/>
      <c r="AO241" s="89"/>
      <c r="AP241" s="89"/>
      <c r="AQ241" s="39">
        <v>29.8</v>
      </c>
      <c r="AR241" s="89"/>
      <c r="AS241" s="89"/>
      <c r="AT241" s="89"/>
      <c r="AU241" s="89"/>
      <c r="AV241" s="39">
        <v>31.3</v>
      </c>
      <c r="AW241" s="89"/>
      <c r="AX241" s="89"/>
      <c r="AY241" s="89"/>
      <c r="AZ241" s="89"/>
      <c r="BA241" s="39">
        <v>38.1</v>
      </c>
      <c r="BB241" s="89"/>
      <c r="BC241" s="89"/>
      <c r="BD241" s="89"/>
      <c r="BE241" s="89"/>
      <c r="BF241" s="39">
        <v>49.2</v>
      </c>
      <c r="BG241" s="89"/>
      <c r="BH241" s="89"/>
      <c r="BI241" s="89"/>
      <c r="BJ241" s="89"/>
      <c r="BK241" s="39">
        <v>30.6</v>
      </c>
      <c r="BL241" s="89"/>
      <c r="BM241" s="89"/>
      <c r="BN241" s="89"/>
      <c r="BO241" s="89"/>
      <c r="BP241" s="39">
        <v>29.3</v>
      </c>
      <c r="BQ241" s="89"/>
      <c r="BR241" s="89"/>
      <c r="BS241" s="89"/>
      <c r="BT241" s="89"/>
      <c r="BU241" s="39">
        <v>27.1</v>
      </c>
      <c r="BV241" s="89"/>
      <c r="BW241" s="89"/>
      <c r="BX241" s="89"/>
      <c r="BY241" s="89"/>
      <c r="BZ241" s="39">
        <v>44.3</v>
      </c>
      <c r="CE241" s="39">
        <v>41</v>
      </c>
      <c r="CJ241" s="657">
        <v>47.1</v>
      </c>
      <c r="CK241" s="93"/>
      <c r="CL241" s="93"/>
      <c r="CM241" s="93"/>
      <c r="CN241" s="93"/>
      <c r="CO241" s="664">
        <v>78.9</v>
      </c>
      <c r="CP241" s="93"/>
      <c r="CQ241" s="93"/>
      <c r="CR241" s="93"/>
      <c r="CT241" s="665"/>
      <c r="CY241" s="644"/>
      <c r="DD241" s="644"/>
      <c r="DI241" s="644"/>
      <c r="DN241" s="644"/>
      <c r="DS241" s="644"/>
    </row>
    <row r="242" hidden="1" outlineLevel="1" spans="1:123">
      <c r="A242" s="6"/>
      <c r="B242" s="33" t="s">
        <v>176</v>
      </c>
      <c r="C242" s="60"/>
      <c r="D242" s="88"/>
      <c r="E242" s="88"/>
      <c r="F242" s="88"/>
      <c r="G242" s="88"/>
      <c r="H242" s="60"/>
      <c r="I242" s="88"/>
      <c r="J242" s="88"/>
      <c r="K242" s="88"/>
      <c r="L242" s="88"/>
      <c r="M242" s="60"/>
      <c r="N242" s="88"/>
      <c r="O242" s="88"/>
      <c r="P242" s="88"/>
      <c r="Q242" s="88"/>
      <c r="R242" s="60"/>
      <c r="S242" s="88"/>
      <c r="T242" s="88"/>
      <c r="U242" s="88"/>
      <c r="V242" s="88"/>
      <c r="W242" s="60"/>
      <c r="X242" s="88"/>
      <c r="Y242" s="88"/>
      <c r="Z242" s="88"/>
      <c r="AA242" s="88"/>
      <c r="AB242" s="60">
        <f>'3. Earnings Build'!AB394</f>
        <v>10</v>
      </c>
      <c r="AC242" s="88"/>
      <c r="AD242" s="88"/>
      <c r="AE242" s="88"/>
      <c r="AF242" s="88"/>
      <c r="AG242" s="60">
        <f>'3. Earnings Build'!AG394</f>
        <v>14</v>
      </c>
      <c r="AH242" s="88"/>
      <c r="AI242" s="88"/>
      <c r="AJ242" s="88"/>
      <c r="AK242" s="88"/>
      <c r="AL242" s="60">
        <f>'3. Earnings Build'!AL394</f>
        <v>41</v>
      </c>
      <c r="AM242" s="88"/>
      <c r="AN242" s="88"/>
      <c r="AO242" s="88"/>
      <c r="AP242" s="88"/>
      <c r="AQ242" s="60">
        <f>'3. Earnings Build'!AQ394</f>
        <v>37</v>
      </c>
      <c r="AR242" s="88"/>
      <c r="AS242" s="88"/>
      <c r="AT242" s="88"/>
      <c r="AU242" s="88"/>
      <c r="AV242" s="60">
        <f>'3. Earnings Build'!AV394</f>
        <v>45</v>
      </c>
      <c r="AW242" s="88"/>
      <c r="AX242" s="88"/>
      <c r="AY242" s="88"/>
      <c r="AZ242" s="88"/>
      <c r="BA242" s="60">
        <f>'3. Earnings Build'!BA394</f>
        <v>49</v>
      </c>
      <c r="BB242" s="208"/>
      <c r="BC242" s="88"/>
      <c r="BD242" s="88"/>
      <c r="BE242" s="659"/>
      <c r="BF242" s="60">
        <f>'3. Earnings Build'!BF394</f>
        <v>62</v>
      </c>
      <c r="BG242" s="208"/>
      <c r="BH242" s="88"/>
      <c r="BI242" s="88"/>
      <c r="BJ242" s="659"/>
      <c r="BK242" s="60">
        <f>'3. Earnings Build'!BK394</f>
        <v>46</v>
      </c>
      <c r="BL242" s="208"/>
      <c r="BM242" s="88"/>
      <c r="BN242" s="88"/>
      <c r="BO242" s="659"/>
      <c r="BP242" s="60">
        <f>'3. Earnings Build'!BP394</f>
        <v>49</v>
      </c>
      <c r="BQ242" s="208"/>
      <c r="BR242" s="88"/>
      <c r="BS242" s="88"/>
      <c r="BT242" s="88"/>
      <c r="BU242" s="60">
        <f>'3. Earnings Build'!BU394</f>
        <v>39</v>
      </c>
      <c r="BV242" s="88"/>
      <c r="BW242" s="88"/>
      <c r="BX242" s="88"/>
      <c r="BY242" s="88"/>
      <c r="BZ242" s="60">
        <f>'3. Earnings Build'!BZ394</f>
        <v>57</v>
      </c>
      <c r="CA242" s="6"/>
      <c r="CB242" s="6"/>
      <c r="CC242" s="6"/>
      <c r="CD242" s="6"/>
      <c r="CE242" s="60">
        <f>'3. Earnings Build'!CE394</f>
        <v>40</v>
      </c>
      <c r="CF242" s="6"/>
      <c r="CG242" s="6"/>
      <c r="CH242" s="6"/>
      <c r="CI242" s="6"/>
      <c r="CJ242" s="660">
        <f>'3. Earnings Build'!CJ394</f>
        <v>56</v>
      </c>
      <c r="CK242" s="92"/>
      <c r="CL242" s="92"/>
      <c r="CM242" s="92"/>
      <c r="CN242" s="92"/>
      <c r="CO242" s="660">
        <f>'3. Earnings Build'!CO394</f>
        <v>87</v>
      </c>
      <c r="CP242" s="92"/>
      <c r="CQ242" s="92"/>
      <c r="CR242" s="92"/>
      <c r="CS242" s="6"/>
      <c r="CT242" s="661"/>
      <c r="CU242" s="6"/>
      <c r="CV242" s="6"/>
      <c r="CW242" s="6"/>
      <c r="CX242" s="6"/>
      <c r="CY242" s="74"/>
      <c r="CZ242" s="6"/>
      <c r="DA242" s="6"/>
      <c r="DB242" s="6"/>
      <c r="DC242" s="6"/>
      <c r="DD242" s="74"/>
      <c r="DE242" s="6"/>
      <c r="DF242" s="6"/>
      <c r="DG242" s="6"/>
      <c r="DH242" s="6"/>
      <c r="DI242" s="74"/>
      <c r="DJ242" s="6"/>
      <c r="DK242" s="6"/>
      <c r="DL242" s="6"/>
      <c r="DM242" s="6"/>
      <c r="DN242" s="74"/>
      <c r="DO242" s="6"/>
      <c r="DP242" s="6"/>
      <c r="DQ242" s="6"/>
      <c r="DR242" s="6"/>
      <c r="DS242" s="74"/>
    </row>
    <row r="243" hidden="1" outlineLevel="1" spans="1:123">
      <c r="A243" s="6"/>
      <c r="B243" s="33" t="s">
        <v>177</v>
      </c>
      <c r="C243" s="60"/>
      <c r="D243" s="88"/>
      <c r="E243" s="88"/>
      <c r="F243" s="88"/>
      <c r="G243" s="88"/>
      <c r="H243" s="60"/>
      <c r="I243" s="88"/>
      <c r="J243" s="88"/>
      <c r="K243" s="88"/>
      <c r="L243" s="88"/>
      <c r="M243" s="60"/>
      <c r="N243" s="88"/>
      <c r="O243" s="88"/>
      <c r="P243" s="88"/>
      <c r="Q243" s="88"/>
      <c r="R243" s="60"/>
      <c r="S243" s="88"/>
      <c r="T243" s="88"/>
      <c r="U243" s="88"/>
      <c r="V243" s="88"/>
      <c r="W243" s="60"/>
      <c r="X243" s="88"/>
      <c r="Y243" s="88"/>
      <c r="Z243" s="88"/>
      <c r="AA243" s="88"/>
      <c r="AB243" s="60">
        <f>AB241/AB242</f>
        <v>0.48</v>
      </c>
      <c r="AC243" s="88"/>
      <c r="AD243" s="88"/>
      <c r="AE243" s="88"/>
      <c r="AF243" s="88"/>
      <c r="AG243" s="60">
        <f>AG241/AG242</f>
        <v>0.5</v>
      </c>
      <c r="AH243" s="88"/>
      <c r="AI243" s="88"/>
      <c r="AJ243" s="88"/>
      <c r="AK243" s="88"/>
      <c r="AL243" s="60">
        <f>AL241/AL242</f>
        <v>0.534146341463415</v>
      </c>
      <c r="AM243" s="88"/>
      <c r="AN243" s="88"/>
      <c r="AO243" s="88"/>
      <c r="AP243" s="88"/>
      <c r="AQ243" s="60">
        <f>AQ241/AQ242</f>
        <v>0.805405405405405</v>
      </c>
      <c r="AR243" s="88"/>
      <c r="AS243" s="88"/>
      <c r="AT243" s="88"/>
      <c r="AU243" s="88"/>
      <c r="AV243" s="60">
        <f>AV241/AV242</f>
        <v>0.695555555555556</v>
      </c>
      <c r="AW243" s="88"/>
      <c r="AX243" s="88"/>
      <c r="AY243" s="88"/>
      <c r="AZ243" s="88"/>
      <c r="BA243" s="60">
        <f>BA241/BA242</f>
        <v>0.777551020408163</v>
      </c>
      <c r="BB243" s="208"/>
      <c r="BC243" s="88"/>
      <c r="BD243" s="88"/>
      <c r="BE243" s="659"/>
      <c r="BF243" s="60">
        <f>BF241/BF242</f>
        <v>0.793548387096774</v>
      </c>
      <c r="BG243" s="208"/>
      <c r="BH243" s="88"/>
      <c r="BI243" s="88"/>
      <c r="BJ243" s="659"/>
      <c r="BK243" s="60">
        <f>BK241/BK242</f>
        <v>0.665217391304348</v>
      </c>
      <c r="BL243" s="208"/>
      <c r="BM243" s="88"/>
      <c r="BN243" s="88"/>
      <c r="BO243" s="659"/>
      <c r="BP243" s="60">
        <f>BP241/BP242</f>
        <v>0.597959183673469</v>
      </c>
      <c r="BQ243" s="208"/>
      <c r="BR243" s="88"/>
      <c r="BS243" s="88"/>
      <c r="BT243" s="88"/>
      <c r="BU243" s="60">
        <f>BU241/BU242</f>
        <v>0.694871794871795</v>
      </c>
      <c r="BV243" s="88"/>
      <c r="BW243" s="88"/>
      <c r="BX243" s="88"/>
      <c r="BY243" s="88"/>
      <c r="BZ243" s="60">
        <f>BZ241/BZ242</f>
        <v>0.77719298245614</v>
      </c>
      <c r="CA243" s="6"/>
      <c r="CB243" s="6"/>
      <c r="CC243" s="6"/>
      <c r="CD243" s="6"/>
      <c r="CE243" s="60">
        <f>CE241/CE242</f>
        <v>1.025</v>
      </c>
      <c r="CF243" s="6"/>
      <c r="CG243" s="6"/>
      <c r="CH243" s="6"/>
      <c r="CI243" s="6"/>
      <c r="CJ243" s="660">
        <f>CJ241/CJ242</f>
        <v>0.841071428571429</v>
      </c>
      <c r="CK243" s="92"/>
      <c r="CL243" s="92"/>
      <c r="CM243" s="92"/>
      <c r="CN243" s="92"/>
      <c r="CO243" s="660">
        <f>CO241/CO242</f>
        <v>0.906896551724138</v>
      </c>
      <c r="CP243" s="92"/>
      <c r="CQ243" s="92"/>
      <c r="CR243" s="92"/>
      <c r="CS243" s="6"/>
      <c r="CT243" s="661"/>
      <c r="CU243" s="6"/>
      <c r="CV243" s="6"/>
      <c r="CW243" s="6"/>
      <c r="CX243" s="6"/>
      <c r="CY243" s="74"/>
      <c r="CZ243" s="6"/>
      <c r="DA243" s="6"/>
      <c r="DB243" s="6"/>
      <c r="DC243" s="6"/>
      <c r="DD243" s="74"/>
      <c r="DE243" s="6"/>
      <c r="DF243" s="6"/>
      <c r="DG243" s="6"/>
      <c r="DH243" s="6"/>
      <c r="DI243" s="74"/>
      <c r="DJ243" s="6"/>
      <c r="DK243" s="6"/>
      <c r="DL243" s="6"/>
      <c r="DM243" s="6"/>
      <c r="DN243" s="74"/>
      <c r="DO243" s="6"/>
      <c r="DP243" s="6"/>
      <c r="DQ243" s="6"/>
      <c r="DR243" s="6"/>
      <c r="DS243" s="74"/>
    </row>
    <row r="244" hidden="1" outlineLevel="1" spans="1:123">
      <c r="A244" s="6"/>
      <c r="B244" s="33" t="s">
        <v>178</v>
      </c>
      <c r="C244" s="60"/>
      <c r="D244" s="88"/>
      <c r="E244" s="88"/>
      <c r="F244" s="88"/>
      <c r="G244" s="88"/>
      <c r="H244" s="60"/>
      <c r="I244" s="88"/>
      <c r="J244" s="88"/>
      <c r="K244" s="88"/>
      <c r="L244" s="88"/>
      <c r="M244" s="60"/>
      <c r="N244" s="88"/>
      <c r="O244" s="88"/>
      <c r="P244" s="88"/>
      <c r="Q244" s="88"/>
      <c r="R244" s="60"/>
      <c r="S244" s="88"/>
      <c r="T244" s="88"/>
      <c r="U244" s="88"/>
      <c r="V244" s="88"/>
      <c r="W244" s="60"/>
      <c r="X244" s="88"/>
      <c r="Y244" s="88"/>
      <c r="Z244" s="88"/>
      <c r="AA244" s="88"/>
      <c r="AB244" s="60">
        <f>AB242*'3. Earnings Build'!AB448</f>
        <v>2.87315</v>
      </c>
      <c r="AC244" s="88"/>
      <c r="AD244" s="88"/>
      <c r="AE244" s="88"/>
      <c r="AF244" s="88"/>
      <c r="AG244" s="60">
        <f>AG242*'3. Earnings Build'!AG448</f>
        <v>4.9455</v>
      </c>
      <c r="AH244" s="88"/>
      <c r="AI244" s="88"/>
      <c r="AJ244" s="88"/>
      <c r="AK244" s="88"/>
      <c r="AL244" s="60">
        <f>AL242*'3. Earnings Build'!AL448</f>
        <v>18.1015</v>
      </c>
      <c r="AM244" s="88"/>
      <c r="AN244" s="88"/>
      <c r="AO244" s="88"/>
      <c r="AP244" s="88"/>
      <c r="AQ244" s="60">
        <f>AQ242*'3. Earnings Build'!AQ448</f>
        <v>20.54425</v>
      </c>
      <c r="AR244" s="88"/>
      <c r="AS244" s="88"/>
      <c r="AT244" s="88"/>
      <c r="AU244" s="88"/>
      <c r="AV244" s="60">
        <f>AV242*'3. Earnings Build'!AV448</f>
        <v>30.81375</v>
      </c>
      <c r="AW244" s="88"/>
      <c r="AX244" s="88"/>
      <c r="AY244" s="88"/>
      <c r="AZ244" s="88"/>
      <c r="BA244" s="60">
        <f>BA242*'3. Earnings Build'!BA448</f>
        <v>40.26575</v>
      </c>
      <c r="BB244" s="208"/>
      <c r="BC244" s="88"/>
      <c r="BD244" s="88"/>
      <c r="BE244" s="659"/>
      <c r="BF244" s="60">
        <f>BF242*'3. Earnings Build'!BF448</f>
        <v>62.3565</v>
      </c>
      <c r="BG244" s="208"/>
      <c r="BH244" s="88"/>
      <c r="BI244" s="88"/>
      <c r="BJ244" s="659"/>
      <c r="BK244" s="60">
        <f>BK242*'3. Earnings Build'!BK448</f>
        <v>52.279</v>
      </c>
      <c r="BL244" s="208"/>
      <c r="BM244" s="88"/>
      <c r="BN244" s="88"/>
      <c r="BO244" s="659"/>
      <c r="BP244" s="60">
        <f>BP242*'3. Earnings Build'!BP448</f>
        <v>59.1185</v>
      </c>
      <c r="BQ244" s="208"/>
      <c r="BR244" s="88"/>
      <c r="BS244" s="88"/>
      <c r="BT244" s="88"/>
      <c r="BU244" s="60">
        <f>BU242*'3. Earnings Build'!BU448</f>
        <v>52.26</v>
      </c>
      <c r="BV244" s="88"/>
      <c r="BW244" s="88"/>
      <c r="BX244" s="88"/>
      <c r="BY244" s="88"/>
      <c r="BZ244" s="60">
        <f>BZ242*'3. Earnings Build'!BZ448</f>
        <v>89.376</v>
      </c>
      <c r="CA244" s="6"/>
      <c r="CB244" s="6"/>
      <c r="CC244" s="6"/>
      <c r="CD244" s="6"/>
      <c r="CE244" s="60">
        <f>CE242*'3. Earnings Build'!CE448</f>
        <v>71.15</v>
      </c>
      <c r="CF244" s="6"/>
      <c r="CG244" s="6"/>
      <c r="CH244" s="6"/>
      <c r="CI244" s="6"/>
      <c r="CJ244" s="660">
        <f>CJ242*'3. Earnings Build'!CJ448</f>
        <v>110.516</v>
      </c>
      <c r="CK244" s="92"/>
      <c r="CL244" s="92"/>
      <c r="CM244" s="92"/>
      <c r="CN244" s="92"/>
      <c r="CO244" s="660">
        <f>CO242*'3. Earnings Build'!CO448</f>
        <v>203.9715</v>
      </c>
      <c r="CP244" s="92"/>
      <c r="CQ244" s="92"/>
      <c r="CR244" s="92"/>
      <c r="CS244" s="6"/>
      <c r="CT244" s="661"/>
      <c r="CU244" s="6"/>
      <c r="CV244" s="6"/>
      <c r="CW244" s="6"/>
      <c r="CX244" s="6"/>
      <c r="CY244" s="74"/>
      <c r="CZ244" s="6"/>
      <c r="DA244" s="6"/>
      <c r="DB244" s="6"/>
      <c r="DC244" s="6"/>
      <c r="DD244" s="74"/>
      <c r="DE244" s="6"/>
      <c r="DF244" s="6"/>
      <c r="DG244" s="6"/>
      <c r="DH244" s="6"/>
      <c r="DI244" s="74"/>
      <c r="DJ244" s="6"/>
      <c r="DK244" s="6"/>
      <c r="DL244" s="6"/>
      <c r="DM244" s="6"/>
      <c r="DN244" s="74"/>
      <c r="DO244" s="6"/>
      <c r="DP244" s="6"/>
      <c r="DQ244" s="6"/>
      <c r="DR244" s="6"/>
      <c r="DS244" s="74"/>
    </row>
    <row r="245" hidden="1" outlineLevel="1" spans="1:123">
      <c r="A245" s="6"/>
      <c r="B245" s="33" t="s">
        <v>179</v>
      </c>
      <c r="C245" s="60"/>
      <c r="D245" s="88"/>
      <c r="E245" s="88"/>
      <c r="F245" s="88"/>
      <c r="G245" s="88"/>
      <c r="H245" s="60"/>
      <c r="I245" s="88"/>
      <c r="J245" s="88"/>
      <c r="K245" s="88"/>
      <c r="L245" s="88"/>
      <c r="M245" s="60"/>
      <c r="N245" s="88"/>
      <c r="O245" s="88"/>
      <c r="P245" s="88"/>
      <c r="Q245" s="88"/>
      <c r="R245" s="60"/>
      <c r="S245" s="88"/>
      <c r="T245" s="88"/>
      <c r="U245" s="88"/>
      <c r="V245" s="88"/>
      <c r="W245" s="60"/>
      <c r="X245" s="88"/>
      <c r="Y245" s="88"/>
      <c r="Z245" s="88"/>
      <c r="AA245" s="88"/>
      <c r="AB245" s="60">
        <f>AB241/AB244</f>
        <v>1.67064023806623</v>
      </c>
      <c r="AC245" s="88"/>
      <c r="AD245" s="88"/>
      <c r="AE245" s="88"/>
      <c r="AF245" s="88"/>
      <c r="AG245" s="60">
        <f>AG241/AG244</f>
        <v>1.41542816702052</v>
      </c>
      <c r="AH245" s="88"/>
      <c r="AI245" s="88"/>
      <c r="AJ245" s="88"/>
      <c r="AK245" s="88"/>
      <c r="AL245" s="60">
        <f>AL241/AL244</f>
        <v>1.20984448802585</v>
      </c>
      <c r="AM245" s="88"/>
      <c r="AN245" s="88"/>
      <c r="AO245" s="88"/>
      <c r="AP245" s="88"/>
      <c r="AQ245" s="60">
        <f>AQ241/AQ244</f>
        <v>1.45052751986566</v>
      </c>
      <c r="AR245" s="88"/>
      <c r="AS245" s="88"/>
      <c r="AT245" s="88"/>
      <c r="AU245" s="88"/>
      <c r="AV245" s="60">
        <f>AV241/AV244</f>
        <v>1.01578029288873</v>
      </c>
      <c r="AW245" s="88"/>
      <c r="AX245" s="88"/>
      <c r="AY245" s="88"/>
      <c r="AZ245" s="88"/>
      <c r="BA245" s="60">
        <f>BA241/BA244</f>
        <v>0.946213593438592</v>
      </c>
      <c r="BB245" s="208"/>
      <c r="BC245" s="88"/>
      <c r="BD245" s="88"/>
      <c r="BE245" s="659"/>
      <c r="BF245" s="60">
        <f>BF241/BF244</f>
        <v>0.78901157056602</v>
      </c>
      <c r="BG245" s="208"/>
      <c r="BH245" s="88"/>
      <c r="BI245" s="88"/>
      <c r="BJ245" s="659"/>
      <c r="BK245" s="60">
        <f>BK241/BK244</f>
        <v>0.585321065819928</v>
      </c>
      <c r="BL245" s="208"/>
      <c r="BM245" s="88"/>
      <c r="BN245" s="88"/>
      <c r="BO245" s="659"/>
      <c r="BP245" s="60">
        <f>BP241/BP244</f>
        <v>0.495614739886837</v>
      </c>
      <c r="BQ245" s="208"/>
      <c r="BR245" s="88"/>
      <c r="BS245" s="88"/>
      <c r="BT245" s="88"/>
      <c r="BU245" s="60">
        <f>BU241/BU244</f>
        <v>0.518561040949101</v>
      </c>
      <c r="BV245" s="88"/>
      <c r="BW245" s="88"/>
      <c r="BX245" s="88"/>
      <c r="BY245" s="88"/>
      <c r="BZ245" s="60">
        <f>BZ241/BZ244</f>
        <v>0.495658789831722</v>
      </c>
      <c r="CA245" s="6"/>
      <c r="CB245" s="6"/>
      <c r="CC245" s="6"/>
      <c r="CD245" s="6"/>
      <c r="CE245" s="60">
        <f>CE241/CE244</f>
        <v>0.576247364722417</v>
      </c>
      <c r="CF245" s="6"/>
      <c r="CG245" s="6"/>
      <c r="CH245" s="6"/>
      <c r="CI245" s="6"/>
      <c r="CJ245" s="660">
        <f>CJ241/CJ244</f>
        <v>0.426182634188715</v>
      </c>
      <c r="CK245" s="92"/>
      <c r="CL245" s="92"/>
      <c r="CM245" s="92"/>
      <c r="CN245" s="92"/>
      <c r="CO245" s="660">
        <f>CO241/CO244</f>
        <v>0.386818746736676</v>
      </c>
      <c r="CP245" s="92"/>
      <c r="CQ245" s="92"/>
      <c r="CR245" s="92"/>
      <c r="CS245" s="6"/>
      <c r="CT245" s="661"/>
      <c r="CU245" s="6"/>
      <c r="CV245" s="6"/>
      <c r="CW245" s="6"/>
      <c r="CX245" s="6"/>
      <c r="CY245" s="74"/>
      <c r="CZ245" s="6"/>
      <c r="DA245" s="6"/>
      <c r="DB245" s="6"/>
      <c r="DC245" s="6"/>
      <c r="DD245" s="74"/>
      <c r="DE245" s="6"/>
      <c r="DF245" s="6"/>
      <c r="DG245" s="6"/>
      <c r="DH245" s="6"/>
      <c r="DI245" s="74"/>
      <c r="DJ245" s="6"/>
      <c r="DK245" s="6"/>
      <c r="DL245" s="6"/>
      <c r="DM245" s="6"/>
      <c r="DN245" s="74"/>
      <c r="DO245" s="6"/>
      <c r="DP245" s="6"/>
      <c r="DQ245" s="6"/>
      <c r="DR245" s="6"/>
      <c r="DS245" s="74"/>
    </row>
    <row r="246" hidden="1" outlineLevel="1" spans="1:123">
      <c r="A246" s="6"/>
      <c r="B246" s="33"/>
      <c r="C246" s="60"/>
      <c r="D246" s="88"/>
      <c r="E246" s="88"/>
      <c r="F246" s="88"/>
      <c r="G246" s="88"/>
      <c r="H246" s="60"/>
      <c r="I246" s="88"/>
      <c r="J246" s="88"/>
      <c r="K246" s="88"/>
      <c r="L246" s="88"/>
      <c r="M246" s="60"/>
      <c r="N246" s="88"/>
      <c r="O246" s="88"/>
      <c r="P246" s="88"/>
      <c r="Q246" s="88"/>
      <c r="R246" s="60"/>
      <c r="S246" s="88"/>
      <c r="T246" s="88"/>
      <c r="U246" s="88"/>
      <c r="V246" s="88"/>
      <c r="W246" s="60"/>
      <c r="X246" s="88"/>
      <c r="Y246" s="88"/>
      <c r="Z246" s="88"/>
      <c r="AA246" s="88"/>
      <c r="AB246" s="60"/>
      <c r="AC246" s="88"/>
      <c r="AD246" s="88"/>
      <c r="AE246" s="88"/>
      <c r="AF246" s="88"/>
      <c r="AG246" s="60"/>
      <c r="AH246" s="88"/>
      <c r="AI246" s="88"/>
      <c r="AJ246" s="88"/>
      <c r="AK246" s="88"/>
      <c r="AL246" s="60"/>
      <c r="AM246" s="88"/>
      <c r="AN246" s="88"/>
      <c r="AO246" s="88"/>
      <c r="AP246" s="88"/>
      <c r="AQ246" s="60"/>
      <c r="AR246" s="88"/>
      <c r="AS246" s="88"/>
      <c r="AT246" s="88"/>
      <c r="AU246" s="88"/>
      <c r="AV246" s="60"/>
      <c r="AW246" s="88"/>
      <c r="AX246" s="88"/>
      <c r="AY246" s="88"/>
      <c r="AZ246" s="88"/>
      <c r="BA246" s="60"/>
      <c r="BB246" s="88"/>
      <c r="BC246" s="88"/>
      <c r="BD246" s="88"/>
      <c r="BE246" s="88"/>
      <c r="BF246" s="60"/>
      <c r="BG246" s="88"/>
      <c r="BH246" s="88"/>
      <c r="BI246" s="88"/>
      <c r="BJ246" s="88"/>
      <c r="BK246" s="60"/>
      <c r="BL246" s="88"/>
      <c r="BM246" s="88"/>
      <c r="BN246" s="88"/>
      <c r="BO246" s="88"/>
      <c r="BP246" s="60"/>
      <c r="BQ246" s="88"/>
      <c r="BR246" s="88"/>
      <c r="BS246" s="88"/>
      <c r="BT246" s="88"/>
      <c r="BU246" s="60"/>
      <c r="BV246" s="88"/>
      <c r="BW246" s="88"/>
      <c r="BX246" s="88"/>
      <c r="BY246" s="88"/>
      <c r="BZ246" s="60"/>
      <c r="CA246" s="6"/>
      <c r="CB246" s="6"/>
      <c r="CC246" s="6"/>
      <c r="CD246" s="6"/>
      <c r="CE246" s="74"/>
      <c r="CF246" s="6"/>
      <c r="CG246" s="6"/>
      <c r="CH246" s="6"/>
      <c r="CI246" s="6"/>
      <c r="CJ246" s="662"/>
      <c r="CK246" s="92"/>
      <c r="CL246" s="92"/>
      <c r="CM246" s="92"/>
      <c r="CN246" s="92"/>
      <c r="CO246" s="662"/>
      <c r="CP246" s="92"/>
      <c r="CQ246" s="92"/>
      <c r="CR246" s="92"/>
      <c r="CS246" s="6"/>
      <c r="CT246" s="74"/>
      <c r="CU246" s="6"/>
      <c r="CV246" s="6"/>
      <c r="CW246" s="6"/>
      <c r="CX246" s="6"/>
      <c r="CY246" s="74"/>
      <c r="CZ246" s="6"/>
      <c r="DA246" s="6"/>
      <c r="DB246" s="6"/>
      <c r="DC246" s="6"/>
      <c r="DD246" s="74"/>
      <c r="DE246" s="6"/>
      <c r="DF246" s="6"/>
      <c r="DG246" s="6"/>
      <c r="DH246" s="6"/>
      <c r="DI246" s="74"/>
      <c r="DJ246" s="6"/>
      <c r="DK246" s="6"/>
      <c r="DL246" s="6"/>
      <c r="DM246" s="6"/>
      <c r="DN246" s="74"/>
      <c r="DO246" s="6"/>
      <c r="DP246" s="6"/>
      <c r="DQ246" s="6"/>
      <c r="DR246" s="6"/>
      <c r="DS246" s="74"/>
    </row>
    <row r="247" s="3" customFormat="1" hidden="1" outlineLevel="1" spans="1:123">
      <c r="B247" s="130" t="s">
        <v>180</v>
      </c>
      <c r="C247" s="39"/>
      <c r="D247" s="89"/>
      <c r="E247" s="89"/>
      <c r="F247" s="89"/>
      <c r="G247" s="89"/>
      <c r="H247" s="39"/>
      <c r="I247" s="89"/>
      <c r="J247" s="89"/>
      <c r="K247" s="89"/>
      <c r="L247" s="89"/>
      <c r="M247" s="39"/>
      <c r="N247" s="89"/>
      <c r="O247" s="89"/>
      <c r="P247" s="89"/>
      <c r="Q247" s="89"/>
      <c r="R247" s="39"/>
      <c r="S247" s="89"/>
      <c r="T247" s="89"/>
      <c r="U247" s="89"/>
      <c r="V247" s="89"/>
      <c r="W247" s="39"/>
      <c r="X247" s="89"/>
      <c r="Y247" s="89"/>
      <c r="Z247" s="89"/>
      <c r="AA247" s="89"/>
      <c r="AB247" s="39"/>
      <c r="AC247" s="89"/>
      <c r="AD247" s="89"/>
      <c r="AE247" s="89"/>
      <c r="AF247" s="89"/>
      <c r="AG247" s="39">
        <v>4.6</v>
      </c>
      <c r="AH247" s="89"/>
      <c r="AI247" s="89"/>
      <c r="AJ247" s="89"/>
      <c r="AK247" s="89"/>
      <c r="AL247" s="39">
        <v>6.7</v>
      </c>
      <c r="AM247" s="89"/>
      <c r="AN247" s="89"/>
      <c r="AO247" s="89"/>
      <c r="AP247" s="89"/>
      <c r="AQ247" s="39">
        <v>4.9</v>
      </c>
      <c r="AR247" s="89"/>
      <c r="AS247" s="89"/>
      <c r="AT247" s="89"/>
      <c r="AU247" s="89"/>
      <c r="AV247" s="39">
        <v>6</v>
      </c>
      <c r="AW247" s="89"/>
      <c r="AX247" s="89"/>
      <c r="AY247" s="89"/>
      <c r="AZ247" s="89"/>
      <c r="BA247" s="39">
        <v>10</v>
      </c>
      <c r="BB247" s="89">
        <v>0.453</v>
      </c>
      <c r="BC247" s="89">
        <v>1.479</v>
      </c>
      <c r="BD247" s="89">
        <v>3.744</v>
      </c>
      <c r="BE247" s="89">
        <f>BF247-SUM(BB247:BD247)</f>
        <v>2.624</v>
      </c>
      <c r="BF247" s="39">
        <v>8.3</v>
      </c>
      <c r="BG247" s="89">
        <v>1.163</v>
      </c>
      <c r="BH247" s="89">
        <v>4.551</v>
      </c>
      <c r="BI247" s="89">
        <v>3.711</v>
      </c>
      <c r="BJ247" s="89">
        <f>BK247-SUM(BG247:BI247)</f>
        <v>2.075</v>
      </c>
      <c r="BK247" s="39">
        <v>11.5</v>
      </c>
      <c r="BL247" s="89">
        <v>1.98</v>
      </c>
      <c r="BM247" s="89">
        <v>6.861</v>
      </c>
      <c r="BN247" s="89">
        <v>7.582</v>
      </c>
      <c r="BO247" s="89">
        <f>BP247-SUM(BL247:BN247)</f>
        <v>3.477</v>
      </c>
      <c r="BP247" s="39">
        <v>19.9</v>
      </c>
      <c r="BQ247" s="89">
        <v>0.721</v>
      </c>
      <c r="BR247" s="89">
        <v>2.302</v>
      </c>
      <c r="BS247" s="89">
        <v>0.54</v>
      </c>
      <c r="BT247" s="89">
        <f>BU247-SUM(BQ247:BS247)</f>
        <v>2.837</v>
      </c>
      <c r="BU247" s="39">
        <v>6.4</v>
      </c>
      <c r="BV247" s="89">
        <v>6.226</v>
      </c>
      <c r="BW247" s="89">
        <v>7.584</v>
      </c>
      <c r="BX247" s="89">
        <v>1.165</v>
      </c>
      <c r="BY247" s="89">
        <f>BZ247-SUM(BV247:BX247)</f>
        <v>0.825000000000003</v>
      </c>
      <c r="BZ247" s="39">
        <v>15.8</v>
      </c>
      <c r="CA247" s="96">
        <v>2.298</v>
      </c>
      <c r="CB247" s="96">
        <v>9.781</v>
      </c>
      <c r="CC247" s="96">
        <v>13.671</v>
      </c>
      <c r="CD247" s="96">
        <f>CE247-SUM(CA247:CC247)</f>
        <v>11.495</v>
      </c>
      <c r="CE247" s="640">
        <v>37.245</v>
      </c>
      <c r="CF247" s="96">
        <v>26.581</v>
      </c>
      <c r="CG247" s="96">
        <v>16.902</v>
      </c>
      <c r="CH247" s="96">
        <v>19.163</v>
      </c>
      <c r="CI247" s="96">
        <f>CJ247-CF247-CG247-CH247</f>
        <v>19.033</v>
      </c>
      <c r="CJ247" s="641">
        <v>81.679</v>
      </c>
      <c r="CK247" s="642">
        <v>8.669</v>
      </c>
      <c r="CL247" s="642">
        <v>7.003</v>
      </c>
      <c r="CM247" s="642">
        <v>15.173</v>
      </c>
      <c r="CN247" s="642">
        <f>CO247-CK247-CL247-CM247</f>
        <v>26.241</v>
      </c>
      <c r="CO247" s="641">
        <v>57.086</v>
      </c>
      <c r="CP247" s="643">
        <v>8.666</v>
      </c>
      <c r="CQ247" s="642">
        <v>27.489</v>
      </c>
      <c r="CR247" s="642">
        <v>29.295</v>
      </c>
      <c r="CT247" s="644"/>
      <c r="CY247" s="644"/>
      <c r="DD247" s="644"/>
      <c r="DI247" s="644"/>
      <c r="DN247" s="644"/>
      <c r="DS247" s="644"/>
    </row>
    <row r="248" s="4" customFormat="1" hidden="1" outlineLevel="1" spans="1:123">
      <c r="B248" s="38" t="s">
        <v>181</v>
      </c>
      <c r="C248" s="636"/>
      <c r="D248" s="486"/>
      <c r="E248" s="486"/>
      <c r="F248" s="486"/>
      <c r="G248" s="486"/>
      <c r="H248" s="636"/>
      <c r="I248" s="486"/>
      <c r="J248" s="486"/>
      <c r="K248" s="486"/>
      <c r="L248" s="486"/>
      <c r="M248" s="636"/>
      <c r="N248" s="486"/>
      <c r="O248" s="486"/>
      <c r="P248" s="486"/>
      <c r="Q248" s="486"/>
      <c r="R248" s="636"/>
      <c r="S248" s="486"/>
      <c r="T248" s="486"/>
      <c r="U248" s="486"/>
      <c r="V248" s="486"/>
      <c r="W248" s="636"/>
      <c r="X248" s="486"/>
      <c r="Y248" s="486"/>
      <c r="Z248" s="486"/>
      <c r="AA248" s="486"/>
      <c r="AB248" s="636"/>
      <c r="AC248" s="486"/>
      <c r="AD248" s="486"/>
      <c r="AE248" s="486"/>
      <c r="AF248" s="486"/>
      <c r="AG248" s="530">
        <f>AG247/'3. Earnings Build'!AG461</f>
        <v>0.0810889898779787</v>
      </c>
      <c r="AH248" s="486"/>
      <c r="AI248" s="486"/>
      <c r="AJ248" s="486"/>
      <c r="AK248" s="486"/>
      <c r="AL248" s="530">
        <f>AL247/'3. Earnings Build'!AL461</f>
        <v>0.062957073048622</v>
      </c>
      <c r="AM248" s="645"/>
      <c r="AN248" s="645"/>
      <c r="AO248" s="645"/>
      <c r="AP248" s="645"/>
      <c r="AQ248" s="530">
        <f>AQ247/'3. Earnings Build'!AQ461</f>
        <v>0.0248364091621007</v>
      </c>
      <c r="AR248" s="645"/>
      <c r="AS248" s="645"/>
      <c r="AT248" s="645"/>
      <c r="AU248" s="645"/>
      <c r="AV248" s="530">
        <f>AV247/'3. Earnings Build'!AV461</f>
        <v>0.022806490727261</v>
      </c>
      <c r="AW248" s="645"/>
      <c r="AX248" s="645"/>
      <c r="AY248" s="645"/>
      <c r="AZ248" s="645"/>
      <c r="BA248" s="530">
        <f>BA247/'3. Earnings Build'!BA461</f>
        <v>0.0311354798133117</v>
      </c>
      <c r="BB248" s="309">
        <f>BB247/'3. Earnings Build'!BB461</f>
        <v>0.00541632789707781</v>
      </c>
      <c r="BC248" s="645">
        <f>BC247/'3. Earnings Build'!BC461</f>
        <v>0.0179841680954292</v>
      </c>
      <c r="BD248" s="645">
        <f>BD247/'3. Earnings Build'!BD461</f>
        <v>0.0419120116422255</v>
      </c>
      <c r="BE248" s="646">
        <f>BE247/'3. Earnings Build'!BE461</f>
        <v>0.0179332968835429</v>
      </c>
      <c r="BF248" s="530">
        <f>BF247/'3. Earnings Build'!BF461</f>
        <v>0.0206711910839923</v>
      </c>
      <c r="BG248" s="309">
        <f>BG247/'3. Earnings Build'!BG461</f>
        <v>0.0119201361129902</v>
      </c>
      <c r="BH248" s="645">
        <f>BH247/'3. Earnings Build'!BH461</f>
        <v>0.0520715339992448</v>
      </c>
      <c r="BI248" s="645">
        <f>BI247/'3. Earnings Build'!BI461</f>
        <v>0.0356782325286262</v>
      </c>
      <c r="BJ248" s="646">
        <f>BJ247/'3. Earnings Build'!BJ461</f>
        <v>0.0126286448094748</v>
      </c>
      <c r="BK248" s="530">
        <f>BK247/'3. Earnings Build'!BK461</f>
        <v>0.025370240046593</v>
      </c>
      <c r="BL248" s="309">
        <f>BL247/'3. Earnings Build'!BL461</f>
        <v>0.0203655513613034</v>
      </c>
      <c r="BM248" s="645">
        <f>BM247/'3. Earnings Build'!BM461</f>
        <v>0.0606904970411061</v>
      </c>
      <c r="BN248" s="645">
        <f>BN247/'3. Earnings Build'!BN461</f>
        <v>0.057798004284157</v>
      </c>
      <c r="BO248" s="646">
        <f>BO247/'3. Earnings Build'!BO461</f>
        <v>0.0147243160836792</v>
      </c>
      <c r="BP248" s="530">
        <f>BP247/'3. Earnings Build'!BP461</f>
        <v>0.03445332613103</v>
      </c>
      <c r="BQ248" s="309">
        <f>BQ247/'3. Earnings Build'!BQ461</f>
        <v>0.0045684957546572</v>
      </c>
      <c r="BR248" s="645">
        <f>BR247/'3. Earnings Build'!BR461</f>
        <v>0.0137514934289128</v>
      </c>
      <c r="BS248" s="645">
        <f>BS247/'3. Earnings Build'!BS461</f>
        <v>0.00285148514851485</v>
      </c>
      <c r="BT248" s="646">
        <f>BT247/'3. Earnings Build'!BT461</f>
        <v>0.00824084052506674</v>
      </c>
      <c r="BU248" s="530">
        <f>BU247/'3. Earnings Build'!BU461</f>
        <v>0.00745177305625157</v>
      </c>
      <c r="BV248" s="309">
        <f>BV247/'3. Earnings Build'!BV461</f>
        <v>0.0296696593660052</v>
      </c>
      <c r="BW248" s="645">
        <f>BW247/'3. Earnings Build'!BW461</f>
        <v>0.0348471760186734</v>
      </c>
      <c r="BX248" s="645">
        <f>BX247/'3. Earnings Build'!BX461</f>
        <v>0.00472233481961897</v>
      </c>
      <c r="BY248" s="645">
        <f>BY247/'3. Earnings Build'!BY461</f>
        <v>0.0017795513373598</v>
      </c>
      <c r="BZ248" s="530">
        <f>BZ247/'3. Earnings Build'!BZ461</f>
        <v>0.0138866916275554</v>
      </c>
      <c r="CA248" s="309">
        <f>CA247/'3. Earnings Build'!CA461</f>
        <v>0.00652768585298788</v>
      </c>
      <c r="CB248" s="645">
        <f>CB247/'3. Earnings Build'!CB461</f>
        <v>0.0176456792350713</v>
      </c>
      <c r="CC248" s="645">
        <f>CC247/'3. Earnings Build'!CC461</f>
        <v>0.0285846908500135</v>
      </c>
      <c r="CD248" s="645">
        <f>CD247/'3. Earnings Build'!CD461</f>
        <v>0.0127798049064667</v>
      </c>
      <c r="CE248" s="530">
        <f>CE247/'3. Earnings Build'!CE461</f>
        <v>0.0163064322077977</v>
      </c>
      <c r="CF248" s="645">
        <f>CF247/'3. Earnings Build'!CF461</f>
        <v>0.0487635296275913</v>
      </c>
      <c r="CG248" s="645">
        <f>CG247/'3. Earnings Build'!CG461</f>
        <v>0.0282913699772022</v>
      </c>
      <c r="CH248" s="645">
        <f>CH247/'3. Earnings Build'!CH461</f>
        <v>0.0326720941136354</v>
      </c>
      <c r="CI248" s="645">
        <f>CI247/'3. Earnings Build'!CI461</f>
        <v>0.0181457975217682</v>
      </c>
      <c r="CJ248" s="530">
        <f>CJ247/'3. Earnings Build'!CJ461</f>
        <v>0.0294026805435963</v>
      </c>
      <c r="CK248" s="645">
        <f>CK247/'3. Earnings Build'!CK461</f>
        <v>0.0120193607513591</v>
      </c>
      <c r="CL248" s="645">
        <f>CL247/'3. Earnings Build'!CL461</f>
        <v>0.0090311764516233</v>
      </c>
      <c r="CM248" s="645">
        <f>CM247/'3. Earnings Build'!CM461</f>
        <v>0.0197732198172675</v>
      </c>
      <c r="CN248" s="645">
        <f>CN247/'3. Earnings Build'!CN461</f>
        <v>0.0182767060278793</v>
      </c>
      <c r="CO248" s="530">
        <f>CO247/'3. Earnings Build'!CO461</f>
        <v>0.0154295202080334</v>
      </c>
      <c r="CP248" s="645">
        <f>CP247/'3. Earnings Build'!CP461</f>
        <v>0.0103791640616953</v>
      </c>
      <c r="CQ248" s="645">
        <f>CQ247/'3. Earnings Build'!CQ461</f>
        <v>0.0307595731324545</v>
      </c>
      <c r="CR248" s="645">
        <f>CR247/'3. Earnings Build'!CR461</f>
        <v>0.0322587039037492</v>
      </c>
      <c r="CS248" s="645"/>
      <c r="CT248" s="530"/>
      <c r="CU248" s="645"/>
      <c r="CY248" s="647"/>
      <c r="DD248" s="647"/>
      <c r="DI248" s="647"/>
      <c r="DN248" s="647"/>
      <c r="DS248" s="647"/>
    </row>
    <row r="249" hidden="1" outlineLevel="1" spans="1:123">
      <c r="A249" s="6"/>
      <c r="B249" s="33"/>
      <c r="C249" s="74"/>
      <c r="D249" s="6"/>
      <c r="E249" s="6"/>
      <c r="F249" s="6"/>
      <c r="G249" s="6"/>
      <c r="H249" s="74"/>
      <c r="I249" s="6"/>
      <c r="J249" s="6"/>
      <c r="K249" s="6"/>
      <c r="L249" s="6"/>
      <c r="M249" s="74"/>
      <c r="N249" s="6"/>
      <c r="O249" s="6"/>
      <c r="P249" s="6"/>
      <c r="Q249" s="6"/>
      <c r="R249" s="74"/>
      <c r="S249" s="6"/>
      <c r="T249" s="6"/>
      <c r="U249" s="6"/>
      <c r="V249" s="6"/>
      <c r="W249" s="74"/>
      <c r="X249" s="6"/>
      <c r="Y249" s="6"/>
      <c r="Z249" s="6"/>
      <c r="AA249" s="6"/>
      <c r="AB249" s="74"/>
      <c r="AC249" s="6"/>
      <c r="AD249" s="6"/>
      <c r="AE249" s="6"/>
      <c r="AF249" s="6"/>
      <c r="AG249" s="74"/>
      <c r="AH249" s="6"/>
      <c r="AI249" s="6"/>
      <c r="AJ249" s="6"/>
      <c r="AK249" s="6"/>
      <c r="AL249" s="74"/>
      <c r="AM249" s="6"/>
      <c r="AN249" s="6"/>
      <c r="AO249" s="6"/>
      <c r="AP249" s="6"/>
      <c r="AQ249" s="666"/>
      <c r="AR249" s="667"/>
      <c r="AS249" s="667"/>
      <c r="AT249" s="667"/>
      <c r="AU249" s="667"/>
      <c r="AV249" s="666"/>
      <c r="AW249" s="667"/>
      <c r="AX249" s="667"/>
      <c r="AY249" s="667"/>
      <c r="AZ249" s="667"/>
      <c r="BA249" s="666"/>
      <c r="BB249" s="667"/>
      <c r="BC249" s="667"/>
      <c r="BD249" s="667"/>
      <c r="BE249" s="667"/>
      <c r="BF249" s="666"/>
      <c r="BG249" s="667"/>
      <c r="BH249" s="667"/>
      <c r="BI249" s="667"/>
      <c r="BJ249" s="667"/>
      <c r="BK249" s="666"/>
      <c r="BL249" s="667"/>
      <c r="BM249" s="667"/>
      <c r="BN249" s="667"/>
      <c r="BO249" s="667"/>
      <c r="BP249" s="666"/>
      <c r="BQ249" s="667"/>
      <c r="BR249" s="667"/>
      <c r="BS249" s="667"/>
      <c r="BT249" s="667"/>
      <c r="BU249" s="666"/>
      <c r="BV249" s="6"/>
      <c r="BW249" s="667"/>
      <c r="BX249" s="667"/>
      <c r="BY249" s="6"/>
      <c r="BZ249" s="74"/>
      <c r="CA249" s="6"/>
      <c r="CB249" s="6"/>
      <c r="CC249" s="6"/>
      <c r="CD249" s="6"/>
      <c r="CE249" s="74"/>
      <c r="CF249" s="6"/>
      <c r="CG249" s="6"/>
      <c r="CH249" s="6"/>
      <c r="CI249" s="6"/>
      <c r="CJ249" s="74"/>
      <c r="CK249" s="6"/>
      <c r="CL249" s="6"/>
      <c r="CM249" s="6"/>
      <c r="CN249" s="6"/>
      <c r="CO249" s="74"/>
      <c r="CP249" s="6"/>
      <c r="CQ249" s="6"/>
      <c r="CR249" s="6"/>
      <c r="CS249" s="6"/>
      <c r="CT249" s="74"/>
      <c r="CU249" s="6"/>
      <c r="CV249" s="6"/>
      <c r="CW249" s="6"/>
      <c r="CX249" s="6"/>
      <c r="CY249" s="74"/>
      <c r="CZ249" s="6"/>
      <c r="DA249" s="6"/>
      <c r="DB249" s="6"/>
      <c r="DC249" s="6"/>
      <c r="DD249" s="74"/>
      <c r="DE249" s="6"/>
      <c r="DF249" s="6"/>
      <c r="DG249" s="6"/>
      <c r="DH249" s="6"/>
      <c r="DI249" s="74"/>
      <c r="DJ249" s="6"/>
      <c r="DK249" s="6"/>
      <c r="DL249" s="6"/>
      <c r="DM249" s="6"/>
      <c r="DN249" s="74"/>
      <c r="DO249" s="6"/>
      <c r="DP249" s="6"/>
      <c r="DQ249" s="6"/>
      <c r="DR249" s="6"/>
      <c r="DS249" s="74"/>
    </row>
    <row r="250" s="3" customFormat="1" hidden="1" outlineLevel="1" spans="1:123">
      <c r="B250" s="130" t="s">
        <v>182</v>
      </c>
      <c r="C250" s="39"/>
      <c r="D250" s="89"/>
      <c r="E250" s="89"/>
      <c r="F250" s="89"/>
      <c r="G250" s="89"/>
      <c r="H250" s="39"/>
      <c r="I250" s="89"/>
      <c r="J250" s="89"/>
      <c r="K250" s="89"/>
      <c r="L250" s="89"/>
      <c r="M250" s="39"/>
      <c r="N250" s="89"/>
      <c r="O250" s="89"/>
      <c r="P250" s="89"/>
      <c r="Q250" s="89"/>
      <c r="R250" s="39"/>
      <c r="S250" s="89"/>
      <c r="T250" s="89"/>
      <c r="U250" s="89"/>
      <c r="V250" s="89"/>
      <c r="W250" s="39"/>
      <c r="X250" s="89"/>
      <c r="Y250" s="89"/>
      <c r="Z250" s="89"/>
      <c r="AA250" s="89"/>
      <c r="AB250" s="39">
        <f>AB253-AB247-AB228</f>
        <v>5.297</v>
      </c>
      <c r="AC250" s="89"/>
      <c r="AD250" s="89"/>
      <c r="AE250" s="89"/>
      <c r="AF250" s="89"/>
      <c r="AG250" s="39">
        <f>AG253-AG247-AG228</f>
        <v>11.257</v>
      </c>
      <c r="AH250" s="89"/>
      <c r="AI250" s="89"/>
      <c r="AJ250" s="89"/>
      <c r="AK250" s="89"/>
      <c r="AL250" s="39">
        <f>AL253-AL247-AL228</f>
        <v>75.857</v>
      </c>
      <c r="AM250" s="89"/>
      <c r="AN250" s="89"/>
      <c r="AO250" s="89"/>
      <c r="AP250" s="89"/>
      <c r="AQ250" s="39">
        <f>AQ253-AQ247-AQ228</f>
        <v>23.429</v>
      </c>
      <c r="AR250" s="89"/>
      <c r="AS250" s="89"/>
      <c r="AT250" s="89"/>
      <c r="AU250" s="89"/>
      <c r="AV250" s="39">
        <f>AV253-AV247-AV228</f>
        <v>40.208</v>
      </c>
      <c r="AW250" s="89"/>
      <c r="AX250" s="89"/>
      <c r="AY250" s="89"/>
      <c r="AZ250" s="89"/>
      <c r="BA250" s="39">
        <f t="shared" ref="BA250:CB250" si="555">BA253-BA247-BA228</f>
        <v>32.833</v>
      </c>
      <c r="BB250" s="175">
        <f t="shared" si="555"/>
        <v>10.639</v>
      </c>
      <c r="BC250" s="89">
        <f t="shared" si="555"/>
        <v>10.915</v>
      </c>
      <c r="BD250" s="89">
        <f t="shared" si="555"/>
        <v>8.29000000000001</v>
      </c>
      <c r="BE250" s="656">
        <f t="shared" si="555"/>
        <v>19.543</v>
      </c>
      <c r="BF250" s="39">
        <f t="shared" si="555"/>
        <v>49.387</v>
      </c>
      <c r="BG250" s="175">
        <f t="shared" si="555"/>
        <v>8.731</v>
      </c>
      <c r="BH250" s="89">
        <f t="shared" si="555"/>
        <v>28.551</v>
      </c>
      <c r="BI250" s="89">
        <f t="shared" si="555"/>
        <v>12.264</v>
      </c>
      <c r="BJ250" s="656">
        <f t="shared" si="555"/>
        <v>13.165</v>
      </c>
      <c r="BK250" s="39">
        <f t="shared" si="555"/>
        <v>62.711</v>
      </c>
      <c r="BL250" s="175">
        <f t="shared" si="555"/>
        <v>10.731</v>
      </c>
      <c r="BM250" s="89">
        <f t="shared" si="555"/>
        <v>6.515</v>
      </c>
      <c r="BN250" s="89">
        <f t="shared" si="555"/>
        <v>19.91</v>
      </c>
      <c r="BO250" s="656">
        <f t="shared" si="555"/>
        <v>20.608</v>
      </c>
      <c r="BP250" s="39">
        <f t="shared" si="555"/>
        <v>57.764</v>
      </c>
      <c r="BQ250" s="175">
        <f t="shared" si="555"/>
        <v>14.357</v>
      </c>
      <c r="BR250" s="89">
        <f t="shared" si="555"/>
        <v>19.626</v>
      </c>
      <c r="BS250" s="89">
        <f t="shared" si="555"/>
        <v>34.146</v>
      </c>
      <c r="BT250" s="656">
        <f t="shared" si="555"/>
        <v>22.078</v>
      </c>
      <c r="BU250" s="39">
        <f t="shared" si="555"/>
        <v>90.207</v>
      </c>
      <c r="BV250" s="175">
        <f t="shared" si="555"/>
        <v>23.498</v>
      </c>
      <c r="BW250" s="89">
        <f t="shared" si="555"/>
        <v>17.72</v>
      </c>
      <c r="BX250" s="89">
        <f t="shared" si="555"/>
        <v>29.349</v>
      </c>
      <c r="BY250" s="89">
        <f t="shared" si="555"/>
        <v>25.181</v>
      </c>
      <c r="BZ250" s="39">
        <f t="shared" si="555"/>
        <v>95.748</v>
      </c>
      <c r="CA250" s="175">
        <f t="shared" si="555"/>
        <v>15.984</v>
      </c>
      <c r="CB250" s="89">
        <f t="shared" si="555"/>
        <v>15.525</v>
      </c>
      <c r="CC250" s="89">
        <f t="shared" ref="CC250:CH250" si="556">CC253-CC247-CC228</f>
        <v>14.49</v>
      </c>
      <c r="CD250" s="89">
        <f t="shared" si="556"/>
        <v>11.779</v>
      </c>
      <c r="CE250" s="39">
        <f t="shared" si="556"/>
        <v>57.778</v>
      </c>
      <c r="CF250" s="175">
        <f t="shared" si="556"/>
        <v>19.079</v>
      </c>
      <c r="CG250" s="89">
        <f t="shared" si="556"/>
        <v>34.711</v>
      </c>
      <c r="CH250" s="89">
        <f t="shared" si="556"/>
        <v>37.669</v>
      </c>
      <c r="CI250" s="89">
        <f t="shared" ref="CI250:CR250" si="557">CI253-CI247-CI228</f>
        <v>31.735</v>
      </c>
      <c r="CJ250" s="39">
        <f t="shared" si="557"/>
        <v>123.194</v>
      </c>
      <c r="CK250" s="175">
        <f t="shared" si="557"/>
        <v>77.737</v>
      </c>
      <c r="CL250" s="89">
        <f t="shared" si="557"/>
        <v>76.81</v>
      </c>
      <c r="CM250" s="89">
        <f t="shared" si="557"/>
        <v>63.925</v>
      </c>
      <c r="CN250" s="89">
        <f t="shared" si="557"/>
        <v>59.4020000000001</v>
      </c>
      <c r="CO250" s="39">
        <f t="shared" si="557"/>
        <v>277.874</v>
      </c>
      <c r="CP250" s="175">
        <f t="shared" si="557"/>
        <v>86.565</v>
      </c>
      <c r="CQ250" s="89">
        <f t="shared" si="557"/>
        <v>64.551</v>
      </c>
      <c r="CR250" s="89">
        <f t="shared" si="557"/>
        <v>60.276</v>
      </c>
      <c r="CS250" s="89"/>
      <c r="CT250" s="39"/>
      <c r="CU250" s="175"/>
      <c r="CY250" s="644"/>
      <c r="DD250" s="644"/>
      <c r="DI250" s="644"/>
      <c r="DN250" s="644"/>
      <c r="DS250" s="644"/>
    </row>
    <row r="251" s="4" customFormat="1" hidden="1" outlineLevel="1" spans="1:123">
      <c r="B251" s="38" t="s">
        <v>183</v>
      </c>
      <c r="C251" s="636"/>
      <c r="D251" s="486"/>
      <c r="E251" s="486"/>
      <c r="F251" s="486"/>
      <c r="G251" s="486"/>
      <c r="H251" s="636"/>
      <c r="I251" s="486"/>
      <c r="J251" s="486"/>
      <c r="K251" s="486"/>
      <c r="L251" s="486"/>
      <c r="M251" s="636"/>
      <c r="N251" s="486"/>
      <c r="O251" s="486"/>
      <c r="P251" s="486"/>
      <c r="Q251" s="486"/>
      <c r="R251" s="636"/>
      <c r="S251" s="486"/>
      <c r="T251" s="486"/>
      <c r="U251" s="486"/>
      <c r="V251" s="486"/>
      <c r="W251" s="636"/>
      <c r="X251" s="486"/>
      <c r="Y251" s="486"/>
      <c r="Z251" s="486"/>
      <c r="AA251" s="486"/>
      <c r="AB251" s="636"/>
      <c r="AC251" s="486"/>
      <c r="AD251" s="486"/>
      <c r="AE251" s="486"/>
      <c r="AF251" s="486"/>
      <c r="AG251" s="636">
        <f>AG250/AB250-1</f>
        <v>1.12516518784217</v>
      </c>
      <c r="AH251" s="486"/>
      <c r="AI251" s="486"/>
      <c r="AJ251" s="486"/>
      <c r="AK251" s="486"/>
      <c r="AL251" s="530">
        <f>AL250/AG250-1</f>
        <v>5.73865150572977</v>
      </c>
      <c r="AM251" s="645"/>
      <c r="AN251" s="645"/>
      <c r="AO251" s="645"/>
      <c r="AP251" s="645"/>
      <c r="AQ251" s="530">
        <f>AQ250/AL250-1</f>
        <v>-0.691142544524566</v>
      </c>
      <c r="AR251" s="645"/>
      <c r="AS251" s="645"/>
      <c r="AT251" s="645"/>
      <c r="AU251" s="645"/>
      <c r="AV251" s="530">
        <f>AV250/AQ250-1</f>
        <v>0.71616372871228</v>
      </c>
      <c r="AW251" s="645"/>
      <c r="AX251" s="645"/>
      <c r="AY251" s="645"/>
      <c r="AZ251" s="645"/>
      <c r="BA251" s="530">
        <f>BA250/AV250-1</f>
        <v>-0.183421209709511</v>
      </c>
      <c r="BB251" s="309"/>
      <c r="BC251" s="645"/>
      <c r="BD251" s="645"/>
      <c r="BE251" s="646"/>
      <c r="BF251" s="530">
        <f t="shared" ref="BF251:BK251" si="558">BF250/BA250-1</f>
        <v>0.504187859775226</v>
      </c>
      <c r="BG251" s="309">
        <f t="shared" si="558"/>
        <v>-0.179340163549206</v>
      </c>
      <c r="BH251" s="645">
        <f t="shared" si="558"/>
        <v>1.61575813101237</v>
      </c>
      <c r="BI251" s="645">
        <f t="shared" si="558"/>
        <v>0.479372738238841</v>
      </c>
      <c r="BJ251" s="646">
        <f t="shared" si="558"/>
        <v>-0.326357263470296</v>
      </c>
      <c r="BK251" s="530">
        <f t="shared" si="558"/>
        <v>0.269787595926054</v>
      </c>
      <c r="BL251" s="309">
        <f t="shared" ref="BL251:BS251" si="559">BL250/BG250-1</f>
        <v>0.229068835184973</v>
      </c>
      <c r="BM251" s="645">
        <f t="shared" si="559"/>
        <v>-0.771811845469511</v>
      </c>
      <c r="BN251" s="645">
        <f t="shared" si="559"/>
        <v>0.623450750163077</v>
      </c>
      <c r="BO251" s="646">
        <f t="shared" si="559"/>
        <v>0.565362704139765</v>
      </c>
      <c r="BP251" s="530">
        <f t="shared" si="559"/>
        <v>-0.0788856819377781</v>
      </c>
      <c r="BQ251" s="309">
        <f t="shared" si="559"/>
        <v>0.337899543378996</v>
      </c>
      <c r="BR251" s="645">
        <f t="shared" si="559"/>
        <v>2.01243284727552</v>
      </c>
      <c r="BS251" s="645">
        <f t="shared" si="559"/>
        <v>0.715017579105977</v>
      </c>
      <c r="BT251" s="646">
        <f t="shared" ref="BT251:CC251" si="560">BT250/BO250-1</f>
        <v>0.0713315217391302</v>
      </c>
      <c r="BU251" s="530">
        <f t="shared" si="560"/>
        <v>0.561647392839831</v>
      </c>
      <c r="BV251" s="309">
        <f t="shared" si="560"/>
        <v>0.636692902416939</v>
      </c>
      <c r="BW251" s="645">
        <f t="shared" si="560"/>
        <v>-0.0971160705186996</v>
      </c>
      <c r="BX251" s="645">
        <f t="shared" si="560"/>
        <v>-0.140484976278334</v>
      </c>
      <c r="BY251" s="645">
        <f t="shared" si="560"/>
        <v>0.140547151010056</v>
      </c>
      <c r="BZ251" s="530">
        <f t="shared" si="560"/>
        <v>0.0614253882736373</v>
      </c>
      <c r="CA251" s="309">
        <f t="shared" si="560"/>
        <v>-0.319771895480467</v>
      </c>
      <c r="CB251" s="645">
        <f t="shared" si="560"/>
        <v>-0.123871331828443</v>
      </c>
      <c r="CC251" s="645">
        <f t="shared" si="560"/>
        <v>-0.506286415210058</v>
      </c>
      <c r="CD251" s="645">
        <f t="shared" ref="CD251:CR251" si="561">CD250/BY250-1</f>
        <v>-0.532226678845161</v>
      </c>
      <c r="CE251" s="530">
        <f t="shared" si="561"/>
        <v>-0.396561808079542</v>
      </c>
      <c r="CF251" s="309">
        <f t="shared" si="561"/>
        <v>0.193631131131131</v>
      </c>
      <c r="CG251" s="645">
        <f t="shared" si="561"/>
        <v>1.23581320450886</v>
      </c>
      <c r="CH251" s="645">
        <f t="shared" si="561"/>
        <v>1.59965493443754</v>
      </c>
      <c r="CI251" s="645">
        <f t="shared" si="561"/>
        <v>1.69420154512268</v>
      </c>
      <c r="CJ251" s="530">
        <f t="shared" si="561"/>
        <v>1.13219564540136</v>
      </c>
      <c r="CK251" s="309">
        <f t="shared" si="561"/>
        <v>3.0744797945385</v>
      </c>
      <c r="CL251" s="645">
        <f t="shared" si="561"/>
        <v>1.2128431909193</v>
      </c>
      <c r="CM251" s="645">
        <f t="shared" si="561"/>
        <v>0.69701876874884</v>
      </c>
      <c r="CN251" s="645">
        <f t="shared" si="561"/>
        <v>0.871813455175673</v>
      </c>
      <c r="CO251" s="530">
        <f t="shared" si="561"/>
        <v>1.25558062892673</v>
      </c>
      <c r="CP251" s="309">
        <f t="shared" si="561"/>
        <v>0.113562396284909</v>
      </c>
      <c r="CQ251" s="645">
        <f t="shared" si="561"/>
        <v>-0.159601614373129</v>
      </c>
      <c r="CR251" s="645">
        <f t="shared" si="561"/>
        <v>-0.0570825185764567</v>
      </c>
      <c r="CS251" s="645"/>
      <c r="CT251" s="530"/>
      <c r="CU251" s="309"/>
      <c r="CY251" s="647"/>
      <c r="DD251" s="647"/>
      <c r="DI251" s="647"/>
      <c r="DN251" s="647"/>
      <c r="DS251" s="647"/>
    </row>
    <row r="252" hidden="1" outlineLevel="1" spans="1:123">
      <c r="A252" s="6"/>
      <c r="B252" s="33"/>
      <c r="C252" s="74"/>
      <c r="D252" s="6"/>
      <c r="E252" s="6"/>
      <c r="F252" s="6"/>
      <c r="G252" s="6"/>
      <c r="H252" s="74"/>
      <c r="I252" s="6"/>
      <c r="J252" s="6"/>
      <c r="K252" s="6"/>
      <c r="L252" s="6"/>
      <c r="M252" s="74"/>
      <c r="N252" s="6"/>
      <c r="O252" s="6"/>
      <c r="P252" s="6"/>
      <c r="Q252" s="6"/>
      <c r="R252" s="74"/>
      <c r="S252" s="6"/>
      <c r="T252" s="6"/>
      <c r="U252" s="6"/>
      <c r="V252" s="6"/>
      <c r="W252" s="74"/>
      <c r="X252" s="6"/>
      <c r="Y252" s="6"/>
      <c r="Z252" s="6"/>
      <c r="AA252" s="6"/>
      <c r="AB252" s="535"/>
      <c r="AC252" s="6"/>
      <c r="AD252" s="6"/>
      <c r="AE252" s="6"/>
      <c r="AF252" s="6"/>
      <c r="AG252" s="535"/>
      <c r="AH252" s="6"/>
      <c r="AI252" s="6"/>
      <c r="AJ252" s="6"/>
      <c r="AK252" s="6"/>
      <c r="AL252" s="535"/>
      <c r="AM252" s="6"/>
      <c r="AN252" s="6"/>
      <c r="AO252" s="6"/>
      <c r="AP252" s="6"/>
      <c r="AQ252" s="535"/>
      <c r="AR252" s="6"/>
      <c r="AS252" s="6"/>
      <c r="AT252" s="6"/>
      <c r="AU252" s="6"/>
      <c r="AV252" s="535"/>
      <c r="AW252" s="6"/>
      <c r="AX252" s="6"/>
      <c r="AY252" s="6"/>
      <c r="AZ252" s="6"/>
      <c r="BA252" s="535"/>
      <c r="BB252" s="6"/>
      <c r="BC252" s="6"/>
      <c r="BD252" s="6"/>
      <c r="BE252" s="6"/>
      <c r="BF252" s="535"/>
      <c r="BG252" s="6"/>
      <c r="BH252" s="6"/>
      <c r="BI252" s="6"/>
      <c r="BJ252" s="6"/>
      <c r="BK252" s="535"/>
      <c r="BL252" s="6"/>
      <c r="BM252" s="6"/>
      <c r="BN252" s="6"/>
      <c r="BO252" s="6"/>
      <c r="BP252" s="535"/>
      <c r="BQ252" s="6"/>
      <c r="BR252" s="6"/>
      <c r="BS252" s="6"/>
      <c r="BT252" s="6"/>
      <c r="BU252" s="535"/>
      <c r="BV252" s="6"/>
      <c r="BW252" s="6"/>
      <c r="BX252" s="6"/>
      <c r="BY252" s="6"/>
      <c r="BZ252" s="74"/>
      <c r="CA252" s="6"/>
      <c r="CB252" s="6"/>
      <c r="CC252" s="6"/>
      <c r="CD252" s="6"/>
      <c r="CE252" s="74"/>
      <c r="CF252" s="6"/>
      <c r="CG252" s="6"/>
      <c r="CH252" s="6"/>
      <c r="CI252" s="6"/>
      <c r="CJ252" s="74"/>
      <c r="CK252" s="6"/>
      <c r="CL252" s="6"/>
      <c r="CM252" s="6"/>
      <c r="CN252" s="6"/>
      <c r="CO252" s="74"/>
      <c r="CP252" s="6"/>
      <c r="CQ252" s="6"/>
      <c r="CR252" s="6"/>
      <c r="CS252" s="6"/>
      <c r="CT252" s="74"/>
      <c r="CU252" s="6"/>
      <c r="CV252" s="6"/>
      <c r="CW252" s="6"/>
      <c r="CX252" s="6"/>
      <c r="CY252" s="74"/>
      <c r="CZ252" s="6"/>
      <c r="DA252" s="6"/>
      <c r="DB252" s="6"/>
      <c r="DC252" s="6"/>
      <c r="DD252" s="74"/>
      <c r="DE252" s="6"/>
      <c r="DF252" s="6"/>
      <c r="DG252" s="6"/>
      <c r="DH252" s="6"/>
      <c r="DI252" s="74"/>
      <c r="DJ252" s="6"/>
      <c r="DK252" s="6"/>
      <c r="DL252" s="6"/>
      <c r="DM252" s="6"/>
      <c r="DN252" s="74"/>
      <c r="DO252" s="6"/>
      <c r="DP252" s="6"/>
      <c r="DQ252" s="6"/>
      <c r="DR252" s="6"/>
      <c r="DS252" s="74"/>
    </row>
    <row r="253" s="3" customFormat="1" collapsed="1" spans="1:123">
      <c r="B253" s="130" t="s">
        <v>184</v>
      </c>
      <c r="C253" s="39"/>
      <c r="D253" s="89"/>
      <c r="E253" s="89"/>
      <c r="F253" s="89"/>
      <c r="G253" s="89"/>
      <c r="H253" s="39"/>
      <c r="I253" s="89"/>
      <c r="J253" s="89"/>
      <c r="K253" s="89"/>
      <c r="L253" s="89"/>
      <c r="M253" s="39"/>
      <c r="N253" s="89"/>
      <c r="O253" s="89"/>
      <c r="P253" s="89"/>
      <c r="Q253" s="89"/>
      <c r="R253" s="39"/>
      <c r="S253" s="89"/>
      <c r="T253" s="89"/>
      <c r="U253" s="89"/>
      <c r="V253" s="89"/>
      <c r="W253" s="39"/>
      <c r="X253" s="89"/>
      <c r="Y253" s="89"/>
      <c r="Z253" s="89"/>
      <c r="AA253" s="89"/>
      <c r="AB253" s="39">
        <f>-'2. Consolidated'!AB105</f>
        <v>15.497</v>
      </c>
      <c r="AC253" s="89"/>
      <c r="AD253" s="89"/>
      <c r="AE253" s="89"/>
      <c r="AF253" s="89"/>
      <c r="AG253" s="39">
        <f>-'2. Consolidated'!AG105</f>
        <v>30.357</v>
      </c>
      <c r="AH253" s="89">
        <f>-'2. Consolidated'!AH105</f>
        <v>74.831</v>
      </c>
      <c r="AI253" s="89">
        <f>-'2. Consolidated'!AI105</f>
        <v>12.493</v>
      </c>
      <c r="AJ253" s="89">
        <f>-'2. Consolidated'!AJ105</f>
        <v>13.366</v>
      </c>
      <c r="AK253" s="89">
        <f>-'2. Consolidated'!AK105</f>
        <v>15.967</v>
      </c>
      <c r="AL253" s="39">
        <f>-'2. Consolidated'!AL105</f>
        <v>116.657</v>
      </c>
      <c r="AM253" s="89">
        <f>-'2. Consolidated'!AM105</f>
        <v>12.696</v>
      </c>
      <c r="AN253" s="89">
        <f>-'2. Consolidated'!AN105</f>
        <v>26.35</v>
      </c>
      <c r="AO253" s="89">
        <f>-'2. Consolidated'!AO105</f>
        <v>32.995</v>
      </c>
      <c r="AP253" s="89">
        <f>-'2. Consolidated'!AP105</f>
        <v>21.188</v>
      </c>
      <c r="AQ253" s="39">
        <f>-'2. Consolidated'!AQ105</f>
        <v>93.229</v>
      </c>
      <c r="AR253" s="89">
        <f>-'2. Consolidated'!AR105</f>
        <v>20.976</v>
      </c>
      <c r="AS253" s="89">
        <f>-'2. Consolidated'!AS105</f>
        <v>23.038</v>
      </c>
      <c r="AT253" s="89">
        <f>-'2. Consolidated'!AT105</f>
        <v>27.931</v>
      </c>
      <c r="AU253" s="89">
        <f>-'2. Consolidated'!AU105</f>
        <v>34.463</v>
      </c>
      <c r="AV253" s="39">
        <f>-'2. Consolidated'!AV105</f>
        <v>106.408</v>
      </c>
      <c r="AW253" s="89">
        <f>-'2. Consolidated'!AW105</f>
        <v>25.447</v>
      </c>
      <c r="AX253" s="89">
        <f>-'2. Consolidated'!AX105</f>
        <v>26.655</v>
      </c>
      <c r="AY253" s="89">
        <f>-'2. Consolidated'!AY105</f>
        <v>37.271</v>
      </c>
      <c r="AZ253" s="89">
        <f>-'2. Consolidated'!AZ105</f>
        <v>30.36</v>
      </c>
      <c r="BA253" s="39">
        <f>-'2. Consolidated'!BA105</f>
        <v>119.733</v>
      </c>
      <c r="BB253" s="89">
        <f>-'2. Consolidated'!BB105</f>
        <v>27.936</v>
      </c>
      <c r="BC253" s="89">
        <f>-'2. Consolidated'!BC105</f>
        <v>37.182</v>
      </c>
      <c r="BD253" s="89">
        <f>-'2. Consolidated'!BD105</f>
        <v>42.943</v>
      </c>
      <c r="BE253" s="89">
        <f>-'2. Consolidated'!BE105</f>
        <v>35.426</v>
      </c>
      <c r="BF253" s="39">
        <f>-'2. Consolidated'!BF105</f>
        <v>143.487</v>
      </c>
      <c r="BG253" s="89">
        <f>-'2. Consolidated'!BG105</f>
        <v>26.644</v>
      </c>
      <c r="BH253" s="89">
        <f>-'2. Consolidated'!BH105</f>
        <v>44.617</v>
      </c>
      <c r="BI253" s="89">
        <f>-'2. Consolidated'!BI105</f>
        <v>34.907</v>
      </c>
      <c r="BJ253" s="89">
        <f>-'2. Consolidated'!BJ105</f>
        <v>43.343</v>
      </c>
      <c r="BK253" s="39">
        <f>-'2. Consolidated'!BK105</f>
        <v>149.511</v>
      </c>
      <c r="BL253" s="89">
        <f>-'2. Consolidated'!BL105</f>
        <v>19.879</v>
      </c>
      <c r="BM253" s="89">
        <f>-'2. Consolidated'!BM105</f>
        <v>30.01</v>
      </c>
      <c r="BN253" s="89">
        <f>-'2. Consolidated'!BN105</f>
        <v>57.239</v>
      </c>
      <c r="BO253" s="89">
        <f>-'2. Consolidated'!BO105</f>
        <v>50.736</v>
      </c>
      <c r="BP253" s="39">
        <f>-'2. Consolidated'!BP105</f>
        <v>157.864</v>
      </c>
      <c r="BQ253" s="89">
        <f>-'2. Consolidated'!BQ105</f>
        <v>34.314</v>
      </c>
      <c r="BR253" s="89">
        <f>-'2. Consolidated'!BR105</f>
        <v>49.693</v>
      </c>
      <c r="BS253" s="89">
        <f>-'2. Consolidated'!BS105</f>
        <v>72.739</v>
      </c>
      <c r="BT253" s="89">
        <f>-'2. Consolidated'!BT105</f>
        <v>69.061</v>
      </c>
      <c r="BU253" s="39">
        <f>-'2. Consolidated'!BU105</f>
        <v>225.807</v>
      </c>
      <c r="BV253" s="89">
        <f>-'2. Consolidated'!BV105</f>
        <v>68.434</v>
      </c>
      <c r="BW253" s="89">
        <f>-'2. Consolidated'!BW105</f>
        <v>67.33</v>
      </c>
      <c r="BX253" s="89">
        <f>-'2. Consolidated'!BX105</f>
        <v>78.453</v>
      </c>
      <c r="BY253" s="89">
        <f>-'2. Consolidated'!BY105</f>
        <v>68.831</v>
      </c>
      <c r="BZ253" s="668">
        <f>-'2. Consolidated'!BZ105</f>
        <v>283.048</v>
      </c>
      <c r="CA253" s="89">
        <f>-'2. Consolidated'!CA105</f>
        <v>52.101</v>
      </c>
      <c r="CB253" s="89">
        <f>-'2. Consolidated'!CB105</f>
        <v>52.622</v>
      </c>
      <c r="CC253" s="89">
        <f>-'2. Consolidated'!CC105</f>
        <v>66.107</v>
      </c>
      <c r="CD253" s="89">
        <f>-'2. Consolidated'!CD105</f>
        <v>58.396</v>
      </c>
      <c r="CE253" s="39">
        <f>SUM(CA253:CD253)</f>
        <v>229.226</v>
      </c>
      <c r="CF253" s="89">
        <f>-'2. Consolidated'!CF105</f>
        <v>64.225</v>
      </c>
      <c r="CG253" s="89">
        <f>-'2. Consolidated'!CG105</f>
        <v>80.269</v>
      </c>
      <c r="CH253" s="89">
        <f>-'2. Consolidated'!CH105</f>
        <v>122.497</v>
      </c>
      <c r="CI253" s="89">
        <f>-'2. Consolidated'!CI105</f>
        <v>127.511</v>
      </c>
      <c r="CJ253" s="657">
        <f>SUM(CF253:CI253)</f>
        <v>394.502</v>
      </c>
      <c r="CK253" s="95">
        <f>-'2. Consolidated'!CK105</f>
        <v>111.352</v>
      </c>
      <c r="CL253" s="95">
        <f>-'2. Consolidated'!CL105</f>
        <v>144.718</v>
      </c>
      <c r="CM253" s="95">
        <f>-'2. Consolidated'!CM105</f>
        <v>175.607</v>
      </c>
      <c r="CN253" s="95">
        <f>-'2. Consolidated'!CN105</f>
        <v>206.98</v>
      </c>
      <c r="CO253" s="657">
        <f>SUM(CK253:CN253)</f>
        <v>638.657</v>
      </c>
      <c r="CP253" s="95">
        <f>-'2. Consolidated'!CP105</f>
        <v>136.942</v>
      </c>
      <c r="CQ253" s="95">
        <f>-'2. Consolidated'!CQ105</f>
        <v>145.511</v>
      </c>
      <c r="CR253" s="95">
        <f>-'2. Consolidated'!CR105</f>
        <v>162.9</v>
      </c>
      <c r="CS253" s="669">
        <f>-'2. Consolidated'!CS105</f>
        <v>206.512</v>
      </c>
      <c r="CT253" s="657">
        <f>SUM(CP253:CS253)</f>
        <v>651.865</v>
      </c>
      <c r="CU253" s="95">
        <f>-'2. Consolidated'!CU105</f>
        <v>130.681</v>
      </c>
      <c r="CV253" s="95">
        <f>-'2. Consolidated'!CV105</f>
        <v>145.086</v>
      </c>
      <c r="CW253" s="95">
        <f>-'2. Consolidated'!CW105</f>
        <v>178.483</v>
      </c>
      <c r="CX253" s="95">
        <f>-'2. Consolidated'!CX105</f>
        <v>234.982</v>
      </c>
      <c r="CY253" s="657">
        <f>SUM(CU253:CX253)</f>
        <v>689.232</v>
      </c>
      <c r="CZ253" s="95">
        <f>-'2. Consolidated'!CZ105</f>
        <v>152.263</v>
      </c>
      <c r="DA253" s="95">
        <f>-'2. Consolidated'!DA105</f>
        <v>177.898</v>
      </c>
      <c r="DB253" s="95">
        <f>-'2. Consolidated'!DB105</f>
        <v>167.441</v>
      </c>
      <c r="DC253" s="95">
        <f>-'2. Consolidated'!DC105</f>
        <v>183.2</v>
      </c>
      <c r="DD253" s="657">
        <f>SUM(CZ253:DC253)</f>
        <v>680.802</v>
      </c>
      <c r="DE253" s="95">
        <f>-'2. Consolidated'!DE105</f>
        <v>127.38</v>
      </c>
      <c r="DF253" s="95">
        <f>-'2. Consolidated'!DF105</f>
        <v>149.676</v>
      </c>
      <c r="DG253" s="670">
        <f>DB253*1.18</f>
        <v>197.58038</v>
      </c>
      <c r="DH253" s="670">
        <f>DC253*1.18</f>
        <v>216.176</v>
      </c>
      <c r="DI253" s="657">
        <f>SUM(DE253:DH253)</f>
        <v>690.81238</v>
      </c>
      <c r="DJ253" s="670">
        <f>DE253*1.12</f>
        <v>142.6656</v>
      </c>
      <c r="DK253" s="670">
        <f>DF253*1.12</f>
        <v>167.63712</v>
      </c>
      <c r="DL253" s="670">
        <f>DG253*1.12</f>
        <v>221.2900256</v>
      </c>
      <c r="DM253" s="670">
        <f>DH253*1.12</f>
        <v>242.11712</v>
      </c>
      <c r="DN253" s="657">
        <f>SUM(DJ253:DM253)</f>
        <v>773.7098656</v>
      </c>
      <c r="DO253" s="670">
        <f>DJ253*1.12</f>
        <v>159.785472</v>
      </c>
      <c r="DP253" s="670">
        <f>DK253*1.12</f>
        <v>187.7535744</v>
      </c>
      <c r="DQ253" s="670">
        <f>DL253*1.12</f>
        <v>247.844828672</v>
      </c>
      <c r="DR253" s="670">
        <f>DM253*1.12</f>
        <v>271.1711744</v>
      </c>
      <c r="DS253" s="657">
        <f>SUM(DO253:DR253)</f>
        <v>866.555049472</v>
      </c>
    </row>
    <row r="254" s="486" customFormat="1" spans="1:123">
      <c r="A254" s="529"/>
      <c r="B254" s="671" t="s">
        <v>185</v>
      </c>
      <c r="C254" s="636"/>
      <c r="H254" s="636"/>
      <c r="M254" s="636"/>
      <c r="R254" s="636"/>
      <c r="W254" s="636"/>
      <c r="AB254" s="636"/>
      <c r="AG254" s="636">
        <f t="shared" ref="AG254:BP254" si="562">AG253/AB253-1</f>
        <v>0.958895270052268</v>
      </c>
      <c r="AL254" s="636">
        <f t="shared" si="562"/>
        <v>2.8428369074678</v>
      </c>
      <c r="AM254" s="486">
        <f t="shared" si="562"/>
        <v>-0.830337694271091</v>
      </c>
      <c r="AN254" s="486">
        <f t="shared" si="562"/>
        <v>1.10918114143921</v>
      </c>
      <c r="AO254" s="486">
        <f t="shared" si="562"/>
        <v>1.46857698638336</v>
      </c>
      <c r="AP254" s="486">
        <f t="shared" si="562"/>
        <v>0.326986910502913</v>
      </c>
      <c r="AQ254" s="636">
        <f t="shared" si="562"/>
        <v>-0.200828068611399</v>
      </c>
      <c r="AR254" s="486">
        <f t="shared" si="562"/>
        <v>0.652173913043478</v>
      </c>
      <c r="AS254" s="486">
        <f t="shared" si="562"/>
        <v>-0.125692599620493</v>
      </c>
      <c r="AT254" s="486">
        <f t="shared" si="562"/>
        <v>-0.153477799666616</v>
      </c>
      <c r="AU254" s="486">
        <f t="shared" si="562"/>
        <v>0.626533887105909</v>
      </c>
      <c r="AV254" s="636">
        <f t="shared" si="562"/>
        <v>0.141361593495586</v>
      </c>
      <c r="AW254" s="486">
        <f t="shared" si="562"/>
        <v>0.213148360030511</v>
      </c>
      <c r="AX254" s="486">
        <f t="shared" si="562"/>
        <v>0.157001475822554</v>
      </c>
      <c r="AY254" s="486">
        <f t="shared" si="562"/>
        <v>0.334395474562315</v>
      </c>
      <c r="AZ254" s="486">
        <f t="shared" si="562"/>
        <v>-0.119055218640281</v>
      </c>
      <c r="BA254" s="636">
        <f t="shared" si="562"/>
        <v>0.125225546951357</v>
      </c>
      <c r="BB254" s="486">
        <f t="shared" si="562"/>
        <v>0.0978111368727159</v>
      </c>
      <c r="BC254" s="486">
        <f t="shared" si="562"/>
        <v>0.394935284186832</v>
      </c>
      <c r="BD254" s="486">
        <f t="shared" si="562"/>
        <v>0.152182662123367</v>
      </c>
      <c r="BE254" s="486">
        <f t="shared" si="562"/>
        <v>0.166864295125164</v>
      </c>
      <c r="BF254" s="636">
        <f t="shared" si="562"/>
        <v>0.198391420911528</v>
      </c>
      <c r="BG254" s="486">
        <f t="shared" si="562"/>
        <v>-0.0462485681557847</v>
      </c>
      <c r="BH254" s="486">
        <f t="shared" si="562"/>
        <v>0.199962347372385</v>
      </c>
      <c r="BI254" s="486">
        <f t="shared" si="562"/>
        <v>-0.187131779335398</v>
      </c>
      <c r="BJ254" s="486">
        <f t="shared" si="562"/>
        <v>0.223479929994919</v>
      </c>
      <c r="BK254" s="636">
        <f t="shared" si="562"/>
        <v>0.0419828974053398</v>
      </c>
      <c r="BL254" s="486">
        <f t="shared" si="562"/>
        <v>-0.253903317820147</v>
      </c>
      <c r="BM254" s="486">
        <f t="shared" si="562"/>
        <v>-0.327386422215747</v>
      </c>
      <c r="BN254" s="486">
        <f t="shared" si="562"/>
        <v>0.639757068782765</v>
      </c>
      <c r="BO254" s="486">
        <f t="shared" si="562"/>
        <v>0.17056964215675</v>
      </c>
      <c r="BP254" s="636">
        <f t="shared" si="562"/>
        <v>0.0558687989512479</v>
      </c>
      <c r="BQ254" s="486">
        <f t="shared" ref="BQ254:CH254" si="563">BQ253/BL253-1</f>
        <v>0.726143166155239</v>
      </c>
      <c r="BR254" s="486">
        <f t="shared" si="563"/>
        <v>0.655881372875708</v>
      </c>
      <c r="BS254" s="486">
        <f t="shared" si="563"/>
        <v>0.270794388441447</v>
      </c>
      <c r="BT254" s="486">
        <f t="shared" si="563"/>
        <v>0.361183380637022</v>
      </c>
      <c r="BU254" s="636">
        <f t="shared" si="563"/>
        <v>0.4303894491461</v>
      </c>
      <c r="BV254" s="486">
        <f t="shared" si="563"/>
        <v>0.994346330943638</v>
      </c>
      <c r="BW254" s="486">
        <f t="shared" si="563"/>
        <v>0.35491920391202</v>
      </c>
      <c r="BX254" s="486">
        <f t="shared" si="563"/>
        <v>0.0785548330331733</v>
      </c>
      <c r="BY254" s="486">
        <f t="shared" si="563"/>
        <v>-0.00333038907632366</v>
      </c>
      <c r="BZ254" s="636">
        <f t="shared" si="563"/>
        <v>0.253495241511556</v>
      </c>
      <c r="CA254" s="486">
        <f t="shared" si="563"/>
        <v>-0.238667913610194</v>
      </c>
      <c r="CB254" s="486">
        <f t="shared" si="563"/>
        <v>-0.218446457745433</v>
      </c>
      <c r="CC254" s="486">
        <f t="shared" si="563"/>
        <v>-0.157368105744841</v>
      </c>
      <c r="CD254" s="486">
        <f t="shared" si="563"/>
        <v>-0.15160320204559</v>
      </c>
      <c r="CE254" s="636">
        <f t="shared" si="563"/>
        <v>-0.190151493739578</v>
      </c>
      <c r="CF254" s="486">
        <f t="shared" si="563"/>
        <v>0.232701867526535</v>
      </c>
      <c r="CG254" s="486">
        <f t="shared" si="563"/>
        <v>0.525388620728973</v>
      </c>
      <c r="CH254" s="486">
        <f t="shared" si="563"/>
        <v>0.853011027576504</v>
      </c>
      <c r="CI254" s="486">
        <f t="shared" ref="CI254:DB254" si="564">CI253/CD253-1</f>
        <v>1.18355709295157</v>
      </c>
      <c r="CJ254" s="672">
        <f t="shared" si="564"/>
        <v>0.721017685602855</v>
      </c>
      <c r="CK254" s="673">
        <f t="shared" si="564"/>
        <v>0.733779680809654</v>
      </c>
      <c r="CL254" s="673">
        <f t="shared" si="564"/>
        <v>0.802912706025987</v>
      </c>
      <c r="CM254" s="673">
        <f t="shared" si="564"/>
        <v>0.433561638244202</v>
      </c>
      <c r="CN254" s="673">
        <f t="shared" si="564"/>
        <v>0.623232505430904</v>
      </c>
      <c r="CO254" s="672">
        <f t="shared" si="564"/>
        <v>0.618894200789857</v>
      </c>
      <c r="CP254" s="673">
        <f t="shared" si="564"/>
        <v>0.229811768086788</v>
      </c>
      <c r="CQ254" s="673">
        <f t="shared" si="564"/>
        <v>0.00547962243812083</v>
      </c>
      <c r="CR254" s="673">
        <f t="shared" si="564"/>
        <v>-0.0723604412124801</v>
      </c>
      <c r="CS254" s="673">
        <f t="shared" si="564"/>
        <v>-0.00226108802782887</v>
      </c>
      <c r="CT254" s="672">
        <f t="shared" si="564"/>
        <v>0.0206808975709967</v>
      </c>
      <c r="CU254" s="673">
        <f t="shared" si="564"/>
        <v>-0.0457200858757721</v>
      </c>
      <c r="CV254" s="673">
        <f t="shared" si="564"/>
        <v>-0.00292074138724896</v>
      </c>
      <c r="CW254" s="673">
        <f t="shared" si="564"/>
        <v>0.0956599140577039</v>
      </c>
      <c r="CX254" s="673">
        <f t="shared" si="564"/>
        <v>0.137861238087859</v>
      </c>
      <c r="CY254" s="672">
        <f t="shared" ref="CY254:DD254" si="565">CY253/CT253-1</f>
        <v>0.0573232187646215</v>
      </c>
      <c r="CZ254" s="673">
        <f t="shared" si="564"/>
        <v>0.165150251375487</v>
      </c>
      <c r="DA254" s="673">
        <f t="shared" si="564"/>
        <v>0.226155521552734</v>
      </c>
      <c r="DB254" s="673">
        <f t="shared" si="564"/>
        <v>-0.0618658359619685</v>
      </c>
      <c r="DC254" s="673">
        <f t="shared" si="565"/>
        <v>-0.220365815253934</v>
      </c>
      <c r="DD254" s="672">
        <f t="shared" si="565"/>
        <v>-0.0122310049446339</v>
      </c>
      <c r="DE254" s="673">
        <f t="shared" ref="DE254:DN254" si="566">DE253/CZ253-1</f>
        <v>-0.163421185711565</v>
      </c>
      <c r="DF254" s="673">
        <f t="shared" si="566"/>
        <v>-0.158641468706787</v>
      </c>
      <c r="DG254" s="673">
        <f t="shared" si="566"/>
        <v>0.18</v>
      </c>
      <c r="DH254" s="673">
        <f t="shared" si="566"/>
        <v>0.18</v>
      </c>
      <c r="DI254" s="672">
        <f t="shared" si="566"/>
        <v>0.0147038052179633</v>
      </c>
      <c r="DJ254" s="673">
        <f t="shared" si="566"/>
        <v>0.12</v>
      </c>
      <c r="DK254" s="673">
        <f t="shared" si="566"/>
        <v>0.12</v>
      </c>
      <c r="DL254" s="673">
        <f t="shared" si="566"/>
        <v>0.12</v>
      </c>
      <c r="DM254" s="673">
        <f t="shared" si="566"/>
        <v>0.12</v>
      </c>
      <c r="DN254" s="672">
        <f t="shared" si="566"/>
        <v>0.12</v>
      </c>
      <c r="DO254" s="673">
        <f t="shared" ref="DO254" si="567">DO253/DJ253-1</f>
        <v>0.12</v>
      </c>
      <c r="DP254" s="673">
        <f t="shared" ref="DP254" si="568">DP253/DK253-1</f>
        <v>0.12</v>
      </c>
      <c r="DQ254" s="673">
        <f t="shared" ref="DQ254" si="569">DQ253/DL253-1</f>
        <v>0.12</v>
      </c>
      <c r="DR254" s="673">
        <f t="shared" ref="DR254" si="570">DR253/DM253-1</f>
        <v>0.12</v>
      </c>
      <c r="DS254" s="672">
        <f t="shared" ref="DS254" si="571">DS253/DN253-1</f>
        <v>0.12</v>
      </c>
    </row>
    <row r="255" s="4" customFormat="1" spans="1:123">
      <c r="A255" s="85"/>
      <c r="B255" s="38" t="s">
        <v>186</v>
      </c>
      <c r="C255" s="636"/>
      <c r="D255" s="486"/>
      <c r="E255" s="486"/>
      <c r="F255" s="486"/>
      <c r="G255" s="486"/>
      <c r="H255" s="636"/>
      <c r="I255" s="486"/>
      <c r="J255" s="486"/>
      <c r="K255" s="486"/>
      <c r="L255" s="486"/>
      <c r="M255" s="636"/>
      <c r="N255" s="486"/>
      <c r="O255" s="486"/>
      <c r="P255" s="486"/>
      <c r="Q255" s="486"/>
      <c r="R255" s="636"/>
      <c r="S255" s="486"/>
      <c r="T255" s="486"/>
      <c r="U255" s="486"/>
      <c r="V255" s="486"/>
      <c r="W255" s="636"/>
      <c r="X255" s="486"/>
      <c r="Y255" s="486"/>
      <c r="Z255" s="486"/>
      <c r="AA255" s="486"/>
      <c r="AB255" s="636"/>
      <c r="AC255" s="486"/>
      <c r="AD255" s="486"/>
      <c r="AE255" s="486"/>
      <c r="AF255" s="486"/>
      <c r="AG255" s="636">
        <f t="shared" ref="AG255:CR255" si="572">AG253/AG37</f>
        <v>0.04265396850376</v>
      </c>
      <c r="AH255" s="486">
        <f t="shared" si="572"/>
        <v>0.400637113181283</v>
      </c>
      <c r="AI255" s="486">
        <f t="shared" si="572"/>
        <v>0.058839598159408</v>
      </c>
      <c r="AJ255" s="486">
        <f t="shared" si="572"/>
        <v>0.0580585189561108</v>
      </c>
      <c r="AK255" s="486">
        <f t="shared" si="572"/>
        <v>0.0429774978466839</v>
      </c>
      <c r="AL255" s="636">
        <f t="shared" si="572"/>
        <v>0.116559206825473</v>
      </c>
      <c r="AM255" s="486">
        <f t="shared" si="572"/>
        <v>0.0444385329963808</v>
      </c>
      <c r="AN255" s="486">
        <f t="shared" si="572"/>
        <v>0.0932301138574977</v>
      </c>
      <c r="AO255" s="486">
        <f t="shared" si="572"/>
        <v>0.104237419322228</v>
      </c>
      <c r="AP255" s="486">
        <f t="shared" si="572"/>
        <v>0.0436425954038094</v>
      </c>
      <c r="AQ255" s="636">
        <f t="shared" si="572"/>
        <v>0.0680325871049755</v>
      </c>
      <c r="AR255" s="486">
        <f t="shared" si="572"/>
        <v>0.0606624983371026</v>
      </c>
      <c r="AS255" s="486">
        <f t="shared" si="572"/>
        <v>0.0668712066017828</v>
      </c>
      <c r="AT255" s="486">
        <f t="shared" si="572"/>
        <v>0.0735219794682811</v>
      </c>
      <c r="AU255" s="486">
        <f t="shared" si="572"/>
        <v>0.0661486814602116</v>
      </c>
      <c r="AV255" s="636">
        <f t="shared" si="572"/>
        <v>0.0668733047257772</v>
      </c>
      <c r="AW255" s="486">
        <f t="shared" si="572"/>
        <v>0.0661617501000993</v>
      </c>
      <c r="AX255" s="486">
        <f t="shared" si="572"/>
        <v>0.0682189866582038</v>
      </c>
      <c r="AY255" s="486">
        <f t="shared" si="572"/>
        <v>0.0888682772367882</v>
      </c>
      <c r="AZ255" s="486">
        <f t="shared" si="572"/>
        <v>0.0503907942193327</v>
      </c>
      <c r="BA255" s="636">
        <f t="shared" si="572"/>
        <v>0.0666214856002043</v>
      </c>
      <c r="BB255" s="486">
        <f t="shared" si="572"/>
        <v>0.065957728122698</v>
      </c>
      <c r="BC255" s="486">
        <f t="shared" si="572"/>
        <v>0.0820776583298382</v>
      </c>
      <c r="BD255" s="486">
        <f t="shared" si="572"/>
        <v>0.0895218400101732</v>
      </c>
      <c r="BE255" s="486">
        <f t="shared" si="572"/>
        <v>0.0503013023303364</v>
      </c>
      <c r="BF255" s="636">
        <f t="shared" si="572"/>
        <v>0.0696362040122823</v>
      </c>
      <c r="BG255" s="486">
        <f t="shared" si="572"/>
        <v>0.0537702112545306</v>
      </c>
      <c r="BH255" s="486">
        <f t="shared" si="572"/>
        <v>0.0867157739252118</v>
      </c>
      <c r="BI255" s="486">
        <f t="shared" si="572"/>
        <v>0.0641182478104979</v>
      </c>
      <c r="BJ255" s="486">
        <f t="shared" si="572"/>
        <v>0.0548687242069018</v>
      </c>
      <c r="BK255" s="636">
        <f t="shared" si="572"/>
        <v>0.063773891055762</v>
      </c>
      <c r="BL255" s="486">
        <f t="shared" si="572"/>
        <v>0.0382062897481679</v>
      </c>
      <c r="BM255" s="486">
        <f t="shared" si="572"/>
        <v>0.0516475232938763</v>
      </c>
      <c r="BN255" s="486">
        <f t="shared" si="572"/>
        <v>0.0924650342307531</v>
      </c>
      <c r="BO255" s="486">
        <f t="shared" si="572"/>
        <v>0.0546252053720815</v>
      </c>
      <c r="BP255" s="636">
        <f t="shared" si="572"/>
        <v>0.0595897373565642</v>
      </c>
      <c r="BQ255" s="486">
        <f t="shared" si="572"/>
        <v>0.0528146577067166</v>
      </c>
      <c r="BR255" s="486">
        <f t="shared" si="572"/>
        <v>0.0686841741534209</v>
      </c>
      <c r="BS255" s="486">
        <f t="shared" si="572"/>
        <v>0.097289525248945</v>
      </c>
      <c r="BT255" s="486">
        <f t="shared" si="572"/>
        <v>0.0591550188529266</v>
      </c>
      <c r="BU255" s="636">
        <f t="shared" si="572"/>
        <v>0.0686694326189156</v>
      </c>
      <c r="BV255" s="486">
        <f t="shared" si="572"/>
        <v>0.0874762723455385</v>
      </c>
      <c r="BW255" s="486">
        <f t="shared" si="572"/>
        <v>0.0762210308008586</v>
      </c>
      <c r="BX255" s="486">
        <f t="shared" si="572"/>
        <v>0.0856344786484132</v>
      </c>
      <c r="BY255" s="486">
        <f t="shared" si="572"/>
        <v>0.0492532688940394</v>
      </c>
      <c r="BZ255" s="636">
        <f t="shared" si="572"/>
        <v>0.0711301697586709</v>
      </c>
      <c r="CA255" s="486">
        <f t="shared" si="572"/>
        <v>0.0799141667765913</v>
      </c>
      <c r="CB255" s="486">
        <f t="shared" si="572"/>
        <v>0.0582783833291618</v>
      </c>
      <c r="CC255" s="486">
        <f t="shared" si="572"/>
        <v>0.0591600696600938</v>
      </c>
      <c r="CD255" s="486">
        <f t="shared" si="572"/>
        <v>0.0337636957590125</v>
      </c>
      <c r="CE255" s="636">
        <f t="shared" si="572"/>
        <v>0.0520745681390678</v>
      </c>
      <c r="CF255" s="486">
        <f t="shared" si="572"/>
        <v>0.0523659460318884</v>
      </c>
      <c r="CG255" s="486">
        <f t="shared" si="572"/>
        <v>0.0553343471541095</v>
      </c>
      <c r="CH255" s="486">
        <f t="shared" si="572"/>
        <v>0.0844561682435651</v>
      </c>
      <c r="CI255" s="486">
        <f t="shared" si="572"/>
        <v>0.0598892590482516</v>
      </c>
      <c r="CJ255" s="672">
        <f t="shared" si="572"/>
        <v>0.0630535639307952</v>
      </c>
      <c r="CK255" s="673">
        <f t="shared" si="572"/>
        <v>0.069014287901241</v>
      </c>
      <c r="CL255" s="673">
        <f t="shared" si="572"/>
        <v>0.0774585618799269</v>
      </c>
      <c r="CM255" s="673">
        <f t="shared" si="572"/>
        <v>0.0945705424503026</v>
      </c>
      <c r="CN255" s="673">
        <f t="shared" si="572"/>
        <v>0.0746724736438421</v>
      </c>
      <c r="CO255" s="672">
        <f t="shared" si="572"/>
        <v>0.0787442922881128</v>
      </c>
      <c r="CP255" s="673">
        <f t="shared" si="572"/>
        <v>0.068443896217098</v>
      </c>
      <c r="CQ255" s="673">
        <f t="shared" si="572"/>
        <v>0.0658669678362639</v>
      </c>
      <c r="CR255" s="673">
        <f t="shared" si="572"/>
        <v>0.0739037608802759</v>
      </c>
      <c r="CS255" s="673">
        <f t="shared" ref="CS255:DS255" si="573">CS253/CS37</f>
        <v>0.0644322506952195</v>
      </c>
      <c r="CT255" s="672">
        <f t="shared" si="573"/>
        <v>0.0677665205226421</v>
      </c>
      <c r="CU255" s="673">
        <f t="shared" si="573"/>
        <v>0.0591613619685172</v>
      </c>
      <c r="CV255" s="673">
        <f t="shared" si="573"/>
        <v>0.0611898891559029</v>
      </c>
      <c r="CW255" s="673">
        <f t="shared" si="573"/>
        <v>0.0744715562491133</v>
      </c>
      <c r="CX255" s="673">
        <f t="shared" si="573"/>
        <v>0.0650649855170861</v>
      </c>
      <c r="CY255" s="672">
        <f t="shared" si="573"/>
        <v>0.0650948052563787</v>
      </c>
      <c r="CZ255" s="673">
        <f t="shared" si="573"/>
        <v>0.0642281052533894</v>
      </c>
      <c r="DA255" s="673">
        <f t="shared" si="573"/>
        <v>0.0704485432748605</v>
      </c>
      <c r="DB255" s="673">
        <f t="shared" si="573"/>
        <v>0.0652557367338031</v>
      </c>
      <c r="DC255" s="673">
        <f t="shared" si="573"/>
        <v>0.0503185974734681</v>
      </c>
      <c r="DD255" s="672">
        <f t="shared" si="573"/>
        <v>0.0613191504692595</v>
      </c>
      <c r="DE255" s="673">
        <f t="shared" si="573"/>
        <v>0.0515374030538076</v>
      </c>
      <c r="DF255" s="673">
        <f t="shared" si="573"/>
        <v>0.0619614502380537</v>
      </c>
      <c r="DG255" s="673">
        <f t="shared" si="573"/>
        <v>0.0853261006224109</v>
      </c>
      <c r="DH255" s="673">
        <f t="shared" si="573"/>
        <v>0.0662349111322302</v>
      </c>
      <c r="DI255" s="672">
        <f t="shared" si="573"/>
        <v>0.066001586468296</v>
      </c>
      <c r="DJ255" s="673">
        <f t="shared" si="573"/>
        <v>0.0604244836597583</v>
      </c>
      <c r="DK255" s="673">
        <f t="shared" si="573"/>
        <v>0.0719565879852045</v>
      </c>
      <c r="DL255" s="673">
        <f t="shared" si="573"/>
        <v>0.0959981589962537</v>
      </c>
      <c r="DM255" s="673">
        <f t="shared" si="573"/>
        <v>0.0751678159993303</v>
      </c>
      <c r="DN255" s="672">
        <f t="shared" si="573"/>
        <v>0.0757282595883614</v>
      </c>
      <c r="DO255" s="673">
        <f t="shared" si="573"/>
        <v>0.0667999982284177</v>
      </c>
      <c r="DP255" s="673">
        <f t="shared" si="573"/>
        <v>0.0796836406573628</v>
      </c>
      <c r="DQ255" s="673">
        <f t="shared" si="573"/>
        <v>0.105844901655087</v>
      </c>
      <c r="DR255" s="673">
        <f t="shared" si="573"/>
        <v>0.083664687881405</v>
      </c>
      <c r="DS255" s="672">
        <f t="shared" si="573"/>
        <v>0.0838792129792995</v>
      </c>
    </row>
    <row r="256" spans="1:123">
      <c r="A256" s="6"/>
      <c r="B256" s="33"/>
      <c r="C256" s="74"/>
      <c r="D256" s="6"/>
      <c r="E256" s="6"/>
      <c r="F256" s="6"/>
      <c r="G256" s="6"/>
      <c r="H256" s="74"/>
      <c r="I256" s="6"/>
      <c r="J256" s="6"/>
      <c r="K256" s="6"/>
      <c r="L256" s="6"/>
      <c r="M256" s="74"/>
      <c r="N256" s="6"/>
      <c r="O256" s="6"/>
      <c r="P256" s="6"/>
      <c r="Q256" s="6"/>
      <c r="R256" s="74"/>
      <c r="S256" s="6"/>
      <c r="T256" s="6"/>
      <c r="U256" s="6"/>
      <c r="V256" s="6"/>
      <c r="W256" s="74"/>
      <c r="X256" s="6"/>
      <c r="Y256" s="6"/>
      <c r="Z256" s="6"/>
      <c r="AA256" s="6"/>
      <c r="AB256" s="74"/>
      <c r="AC256" s="6"/>
      <c r="AD256" s="6"/>
      <c r="AE256" s="6"/>
      <c r="AF256" s="6"/>
      <c r="AG256" s="74"/>
      <c r="AH256" s="6"/>
      <c r="AI256" s="6"/>
      <c r="AJ256" s="6"/>
      <c r="AK256" s="6"/>
      <c r="AL256" s="74"/>
      <c r="AM256" s="6"/>
      <c r="AN256" s="6"/>
      <c r="AO256" s="6"/>
      <c r="AP256" s="6"/>
      <c r="AQ256" s="74"/>
      <c r="AR256" s="6"/>
      <c r="AS256" s="6"/>
      <c r="AT256" s="6"/>
      <c r="AU256" s="6"/>
      <c r="AV256" s="74"/>
      <c r="AW256" s="6"/>
      <c r="AX256" s="6"/>
      <c r="AY256" s="6"/>
      <c r="AZ256" s="6"/>
      <c r="BA256" s="74"/>
      <c r="BB256" s="6"/>
      <c r="BC256" s="6"/>
      <c r="BD256" s="6"/>
      <c r="BE256" s="6"/>
      <c r="BF256" s="74"/>
      <c r="BG256" s="6"/>
      <c r="BH256" s="6"/>
      <c r="BI256" s="6"/>
      <c r="BJ256" s="6"/>
      <c r="BK256" s="74"/>
      <c r="BL256" s="6"/>
      <c r="BM256" s="6"/>
      <c r="BN256" s="6"/>
      <c r="BO256" s="6"/>
      <c r="BP256" s="74"/>
      <c r="BQ256" s="6"/>
      <c r="BR256" s="6"/>
      <c r="BS256" s="6"/>
      <c r="BT256" s="6"/>
      <c r="BU256" s="74"/>
      <c r="BV256" s="6"/>
      <c r="BW256" s="6"/>
      <c r="BX256" s="6"/>
      <c r="BY256" s="6"/>
      <c r="BZ256" s="74"/>
      <c r="CA256" s="6"/>
      <c r="CB256" s="6"/>
      <c r="CC256" s="6"/>
      <c r="CD256" s="6"/>
      <c r="CE256" s="74"/>
      <c r="CF256" s="6"/>
      <c r="CG256" s="6"/>
      <c r="CH256" s="6"/>
      <c r="CI256" s="6"/>
      <c r="CJ256" s="74"/>
      <c r="CK256" s="6"/>
      <c r="CL256" s="6"/>
      <c r="CM256" s="6"/>
      <c r="CN256" s="6"/>
      <c r="CO256" s="74"/>
      <c r="CP256" s="6"/>
      <c r="CQ256" s="6"/>
      <c r="CR256" s="6"/>
      <c r="CS256" s="6"/>
      <c r="CT256" s="74"/>
      <c r="CU256" s="6"/>
      <c r="CV256" s="6"/>
      <c r="CW256" s="6"/>
      <c r="CX256" s="6"/>
      <c r="CY256" s="74"/>
      <c r="CZ256" s="6"/>
      <c r="DA256" s="6"/>
      <c r="DB256" s="6"/>
      <c r="DC256" s="6"/>
      <c r="DD256" s="74"/>
      <c r="DE256" s="6"/>
      <c r="DF256" s="6"/>
      <c r="DG256" s="6"/>
      <c r="DH256" s="6"/>
      <c r="DI256" s="74"/>
      <c r="DJ256" s="6"/>
      <c r="DK256" s="6"/>
      <c r="DL256" s="6"/>
      <c r="DM256" s="6"/>
      <c r="DN256" s="74"/>
      <c r="DO256" s="6"/>
      <c r="DP256" s="6"/>
      <c r="DQ256" s="6"/>
      <c r="DR256" s="6"/>
      <c r="DS256" s="74"/>
    </row>
    <row r="257" spans="1:123">
      <c r="A257" s="132"/>
      <c r="B257" s="184" t="s">
        <v>187</v>
      </c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  <c r="AL257" s="117"/>
      <c r="AM257" s="117"/>
      <c r="AN257" s="117"/>
      <c r="AO257" s="117"/>
      <c r="AP257" s="117"/>
      <c r="AQ257" s="117"/>
      <c r="AR257" s="117"/>
      <c r="AS257" s="117"/>
      <c r="AT257" s="117"/>
      <c r="AU257" s="117"/>
      <c r="AV257" s="117"/>
      <c r="AW257" s="117"/>
      <c r="AX257" s="117"/>
      <c r="AY257" s="117"/>
      <c r="AZ257" s="117"/>
      <c r="BA257" s="117"/>
      <c r="BB257" s="117"/>
      <c r="BC257" s="117"/>
      <c r="BD257" s="117"/>
      <c r="BE257" s="117"/>
      <c r="BF257" s="117"/>
      <c r="BG257" s="117"/>
      <c r="BH257" s="117"/>
      <c r="BI257" s="117"/>
      <c r="BJ257" s="117"/>
      <c r="BK257" s="117"/>
      <c r="BL257" s="117"/>
      <c r="BM257" s="117"/>
      <c r="BN257" s="117"/>
      <c r="BO257" s="117"/>
      <c r="BP257" s="117"/>
      <c r="BQ257" s="117"/>
      <c r="BR257" s="117"/>
      <c r="BS257" s="117"/>
      <c r="BT257" s="117"/>
      <c r="BU257" s="117"/>
      <c r="BV257" s="117"/>
      <c r="BW257" s="117"/>
      <c r="BX257" s="117"/>
      <c r="BY257" s="117"/>
      <c r="BZ257" s="117"/>
      <c r="CA257" s="117"/>
      <c r="CB257" s="117"/>
      <c r="CC257" s="117"/>
      <c r="CD257" s="117"/>
      <c r="CE257" s="117"/>
      <c r="CF257" s="117"/>
      <c r="CG257" s="117"/>
      <c r="CH257" s="117"/>
      <c r="CI257" s="117"/>
      <c r="CJ257" s="117"/>
      <c r="CK257" s="117"/>
      <c r="CL257" s="117"/>
      <c r="CM257" s="117"/>
      <c r="CN257" s="117"/>
      <c r="CO257" s="117"/>
      <c r="CP257" s="117"/>
      <c r="CQ257" s="117"/>
      <c r="CR257" s="117"/>
      <c r="CS257" s="117"/>
      <c r="CT257" s="117"/>
      <c r="CU257" s="117"/>
      <c r="CV257" s="117"/>
      <c r="CW257" s="117"/>
      <c r="CX257" s="117"/>
      <c r="CY257" s="117"/>
      <c r="CZ257" s="117"/>
      <c r="DA257" s="117"/>
      <c r="DB257" s="117"/>
      <c r="DC257" s="117"/>
      <c r="DD257" s="117"/>
      <c r="DE257" s="117"/>
      <c r="DF257" s="117"/>
      <c r="DG257" s="117"/>
      <c r="DH257" s="117"/>
      <c r="DI257" s="117"/>
      <c r="DJ257" s="117"/>
      <c r="DK257" s="117"/>
      <c r="DL257" s="117"/>
      <c r="DM257" s="117"/>
      <c r="DN257" s="117"/>
      <c r="DO257" s="117"/>
      <c r="DP257" s="117"/>
      <c r="DQ257" s="117"/>
      <c r="DR257" s="117"/>
      <c r="DS257" s="507"/>
    </row>
    <row r="258" spans="1:123">
      <c r="A258" s="6"/>
      <c r="B258" s="33"/>
      <c r="C258" s="74"/>
      <c r="D258" s="6"/>
      <c r="E258" s="6"/>
      <c r="F258" s="6"/>
      <c r="G258" s="6"/>
      <c r="H258" s="74"/>
      <c r="I258" s="6"/>
      <c r="J258" s="6"/>
      <c r="K258" s="6"/>
      <c r="L258" s="6"/>
      <c r="M258" s="74"/>
      <c r="N258" s="6"/>
      <c r="O258" s="6"/>
      <c r="P258" s="6"/>
      <c r="Q258" s="6"/>
      <c r="R258" s="74"/>
      <c r="S258" s="6"/>
      <c r="T258" s="6"/>
      <c r="U258" s="6"/>
      <c r="V258" s="6"/>
      <c r="W258" s="74"/>
      <c r="X258" s="6"/>
      <c r="Y258" s="6"/>
      <c r="Z258" s="6"/>
      <c r="AA258" s="6"/>
      <c r="AB258" s="535"/>
      <c r="AC258" s="6"/>
      <c r="AD258" s="6"/>
      <c r="AE258" s="6"/>
      <c r="AF258" s="6"/>
      <c r="AG258" s="535"/>
      <c r="AH258" s="6"/>
      <c r="AI258" s="6"/>
      <c r="AJ258" s="6"/>
      <c r="AK258" s="6"/>
      <c r="AL258" s="535"/>
      <c r="AM258" s="6"/>
      <c r="AN258" s="6"/>
      <c r="AO258" s="6"/>
      <c r="AP258" s="6"/>
      <c r="AQ258" s="535"/>
      <c r="AR258" s="6"/>
      <c r="AS258" s="6"/>
      <c r="AT258" s="6"/>
      <c r="AU258" s="6"/>
      <c r="AV258" s="535"/>
      <c r="AW258" s="6"/>
      <c r="AX258" s="6"/>
      <c r="AY258" s="6"/>
      <c r="AZ258" s="6"/>
      <c r="BA258" s="535"/>
      <c r="BB258" s="6"/>
      <c r="BC258" s="6"/>
      <c r="BD258" s="6"/>
      <c r="BE258" s="6"/>
      <c r="BF258" s="535"/>
      <c r="BG258" s="6"/>
      <c r="BH258" s="6"/>
      <c r="BI258" s="6"/>
      <c r="BJ258" s="6"/>
      <c r="BK258" s="535"/>
      <c r="BL258" s="6"/>
      <c r="BM258" s="6"/>
      <c r="BN258" s="6"/>
      <c r="BO258" s="6"/>
      <c r="BP258" s="535"/>
      <c r="BQ258" s="6"/>
      <c r="BR258" s="6"/>
      <c r="BS258" s="6"/>
      <c r="BT258" s="6"/>
      <c r="BU258" s="74"/>
      <c r="BV258" s="6"/>
      <c r="BW258" s="6"/>
      <c r="BX258" s="6"/>
      <c r="BY258" s="6"/>
      <c r="BZ258" s="74"/>
      <c r="CA258" s="674"/>
      <c r="CB258" s="675"/>
      <c r="CC258" s="674"/>
      <c r="CD258" s="674"/>
      <c r="CE258" s="676"/>
      <c r="CF258" s="674"/>
      <c r="CG258" s="674"/>
      <c r="CH258" s="674"/>
      <c r="CI258" s="674"/>
      <c r="CJ258" s="676"/>
      <c r="CK258" s="674"/>
      <c r="CL258" s="674"/>
      <c r="CM258" s="674"/>
      <c r="CN258" s="674"/>
      <c r="CO258" s="676"/>
      <c r="CP258" s="674"/>
      <c r="CQ258" s="674"/>
      <c r="CR258" s="674"/>
      <c r="CS258" s="674"/>
      <c r="CT258" s="676"/>
      <c r="CU258" s="674"/>
      <c r="CV258" s="674"/>
      <c r="CW258" s="674"/>
      <c r="CX258" s="674"/>
      <c r="CY258" s="676"/>
      <c r="CZ258" s="674"/>
      <c r="DA258" s="674"/>
      <c r="DB258" s="674"/>
      <c r="DC258" s="674"/>
      <c r="DD258" s="676"/>
      <c r="DE258" s="674"/>
      <c r="DF258" s="674"/>
      <c r="DG258" s="674"/>
      <c r="DH258" s="674"/>
      <c r="DI258" s="676"/>
      <c r="DJ258" s="674"/>
      <c r="DK258" s="674"/>
      <c r="DL258" s="674"/>
      <c r="DM258" s="674"/>
      <c r="DN258" s="676"/>
      <c r="DO258" s="674"/>
      <c r="DP258" s="674"/>
      <c r="DQ258" s="674"/>
      <c r="DR258" s="674"/>
      <c r="DS258" s="676"/>
    </row>
    <row r="259" s="3" customFormat="1" spans="1:123">
      <c r="B259" s="130" t="s">
        <v>188</v>
      </c>
      <c r="C259" s="39"/>
      <c r="D259" s="89"/>
      <c r="E259" s="89"/>
      <c r="F259" s="89"/>
      <c r="G259" s="89"/>
      <c r="H259" s="39"/>
      <c r="I259" s="89"/>
      <c r="J259" s="89"/>
      <c r="K259" s="89"/>
      <c r="L259" s="89"/>
      <c r="M259" s="39"/>
      <c r="N259" s="89"/>
      <c r="O259" s="89"/>
      <c r="P259" s="89"/>
      <c r="Q259" s="89"/>
      <c r="R259" s="39"/>
      <c r="S259" s="89"/>
      <c r="T259" s="89"/>
      <c r="U259" s="89"/>
      <c r="V259" s="89"/>
      <c r="W259" s="39"/>
      <c r="X259" s="89"/>
      <c r="Y259" s="89"/>
      <c r="Z259" s="89"/>
      <c r="AA259" s="89"/>
      <c r="AB259" s="39"/>
      <c r="AC259" s="89"/>
      <c r="AD259" s="89"/>
      <c r="AE259" s="89"/>
      <c r="AF259" s="89"/>
      <c r="AG259" s="39">
        <f t="shared" ref="AG259:CR259" si="574">AG175</f>
        <v>57.469</v>
      </c>
      <c r="AH259" s="89">
        <f t="shared" si="574"/>
        <v>64.423</v>
      </c>
      <c r="AI259" s="89">
        <f t="shared" si="574"/>
        <v>88.884</v>
      </c>
      <c r="AJ259" s="89">
        <f t="shared" si="574"/>
        <v>129.169</v>
      </c>
      <c r="AK259" s="89">
        <f t="shared" si="574"/>
        <v>104.097</v>
      </c>
      <c r="AL259" s="39">
        <f t="shared" si="574"/>
        <v>104.097</v>
      </c>
      <c r="AM259" s="89">
        <f t="shared" si="574"/>
        <v>107.679</v>
      </c>
      <c r="AN259" s="89">
        <f t="shared" si="574"/>
        <v>125.378</v>
      </c>
      <c r="AO259" s="89">
        <f t="shared" si="574"/>
        <v>164.726</v>
      </c>
      <c r="AP259" s="89">
        <f t="shared" si="574"/>
        <v>155.222</v>
      </c>
      <c r="AQ259" s="39">
        <f t="shared" si="574"/>
        <v>155.222</v>
      </c>
      <c r="AR259" s="89">
        <f t="shared" si="574"/>
        <v>143.712</v>
      </c>
      <c r="AS259" s="89">
        <f t="shared" si="574"/>
        <v>163.004</v>
      </c>
      <c r="AT259" s="89">
        <f t="shared" si="574"/>
        <v>206.154</v>
      </c>
      <c r="AU259" s="89">
        <f t="shared" si="574"/>
        <v>186.09</v>
      </c>
      <c r="AV259" s="39">
        <f t="shared" si="574"/>
        <v>186.09</v>
      </c>
      <c r="AW259" s="89">
        <f t="shared" si="574"/>
        <v>177.375</v>
      </c>
      <c r="AX259" s="89">
        <f t="shared" si="574"/>
        <v>176.502</v>
      </c>
      <c r="AY259" s="89">
        <f t="shared" si="574"/>
        <v>229.861</v>
      </c>
      <c r="AZ259" s="89">
        <f t="shared" si="574"/>
        <v>208.116</v>
      </c>
      <c r="BA259" s="39">
        <f t="shared" si="574"/>
        <v>208.116</v>
      </c>
      <c r="BB259" s="89">
        <f t="shared" si="574"/>
        <v>236.499</v>
      </c>
      <c r="BC259" s="89">
        <f t="shared" si="574"/>
        <v>280.607</v>
      </c>
      <c r="BD259" s="89">
        <f t="shared" si="574"/>
        <v>357.753</v>
      </c>
      <c r="BE259" s="89">
        <f t="shared" si="574"/>
        <v>284.009</v>
      </c>
      <c r="BF259" s="39">
        <f t="shared" si="574"/>
        <v>284.009</v>
      </c>
      <c r="BG259" s="89">
        <f t="shared" si="574"/>
        <v>286.23</v>
      </c>
      <c r="BH259" s="89">
        <f t="shared" si="574"/>
        <v>277.279</v>
      </c>
      <c r="BI259" s="89">
        <f t="shared" si="574"/>
        <v>364.514</v>
      </c>
      <c r="BJ259" s="89">
        <f t="shared" si="574"/>
        <v>298.432</v>
      </c>
      <c r="BK259" s="39">
        <f t="shared" si="574"/>
        <v>298.432</v>
      </c>
      <c r="BL259" s="89">
        <f t="shared" si="574"/>
        <v>303.95</v>
      </c>
      <c r="BM259" s="89">
        <f t="shared" si="574"/>
        <v>316.368</v>
      </c>
      <c r="BN259" s="89">
        <f t="shared" si="574"/>
        <v>396.892</v>
      </c>
      <c r="BO259" s="89">
        <f t="shared" si="574"/>
        <v>329.562</v>
      </c>
      <c r="BP259" s="39">
        <f t="shared" si="574"/>
        <v>329.562</v>
      </c>
      <c r="BQ259" s="89">
        <f t="shared" si="574"/>
        <v>373.445</v>
      </c>
      <c r="BR259" s="89">
        <f t="shared" si="574"/>
        <v>392.672</v>
      </c>
      <c r="BS259" s="89">
        <f t="shared" si="574"/>
        <v>495.991</v>
      </c>
      <c r="BT259" s="89">
        <f t="shared" si="574"/>
        <v>404.842</v>
      </c>
      <c r="BU259" s="39">
        <f t="shared" si="574"/>
        <v>404.842</v>
      </c>
      <c r="BV259" s="89">
        <f t="shared" si="574"/>
        <v>443.006</v>
      </c>
      <c r="BW259" s="89">
        <f t="shared" si="574"/>
        <v>494.294</v>
      </c>
      <c r="BX259" s="89">
        <f t="shared" si="574"/>
        <v>627.102</v>
      </c>
      <c r="BY259" s="89">
        <f t="shared" si="574"/>
        <v>518.513</v>
      </c>
      <c r="BZ259" s="39">
        <f t="shared" si="574"/>
        <v>518.513</v>
      </c>
      <c r="CA259" s="89">
        <f t="shared" si="574"/>
        <v>625.849</v>
      </c>
      <c r="CB259" s="89">
        <f t="shared" si="574"/>
        <v>672.773</v>
      </c>
      <c r="CC259" s="89">
        <f t="shared" si="574"/>
        <v>770.99</v>
      </c>
      <c r="CD259" s="89">
        <f t="shared" si="574"/>
        <v>647.23</v>
      </c>
      <c r="CE259" s="39">
        <f t="shared" si="574"/>
        <v>647.23</v>
      </c>
      <c r="CF259" s="89">
        <f t="shared" si="574"/>
        <v>732.89</v>
      </c>
      <c r="CG259" s="89">
        <f t="shared" si="574"/>
        <v>789.836</v>
      </c>
      <c r="CH259" s="89">
        <f t="shared" si="574"/>
        <v>943.9</v>
      </c>
      <c r="CI259" s="95">
        <f t="shared" si="574"/>
        <v>966.481</v>
      </c>
      <c r="CJ259" s="657">
        <f t="shared" si="574"/>
        <v>966.481</v>
      </c>
      <c r="CK259" s="95">
        <f t="shared" si="574"/>
        <v>1275.04</v>
      </c>
      <c r="CL259" s="95">
        <f t="shared" si="574"/>
        <v>1462.076</v>
      </c>
      <c r="CM259" s="95">
        <f t="shared" si="574"/>
        <v>1741.716</v>
      </c>
      <c r="CN259" s="95">
        <f t="shared" si="574"/>
        <v>1447.367</v>
      </c>
      <c r="CO259" s="657">
        <f t="shared" si="574"/>
        <v>1447.367</v>
      </c>
      <c r="CP259" s="95">
        <f t="shared" si="574"/>
        <v>1580.313</v>
      </c>
      <c r="CQ259" s="95">
        <f t="shared" si="574"/>
        <v>1660.753</v>
      </c>
      <c r="CR259" s="95">
        <f t="shared" si="574"/>
        <v>1663.617</v>
      </c>
      <c r="CS259" s="95">
        <f t="shared" ref="CS259:DF259" si="575">CS175</f>
        <v>1323.602</v>
      </c>
      <c r="CT259" s="657">
        <f t="shared" si="575"/>
        <v>1323.602</v>
      </c>
      <c r="CU259" s="95">
        <f t="shared" si="575"/>
        <v>1345.267</v>
      </c>
      <c r="CV259" s="95">
        <f t="shared" si="575"/>
        <v>1429.043</v>
      </c>
      <c r="CW259" s="95">
        <f t="shared" si="575"/>
        <v>1800.893</v>
      </c>
      <c r="CX259" s="95">
        <f t="shared" si="575"/>
        <v>1442.081</v>
      </c>
      <c r="CY259" s="657">
        <f t="shared" si="575"/>
        <v>1442.081</v>
      </c>
      <c r="CZ259" s="95">
        <f t="shared" si="575"/>
        <v>1652.091</v>
      </c>
      <c r="DA259" s="95">
        <f t="shared" si="575"/>
        <v>1722.57</v>
      </c>
      <c r="DB259" s="95">
        <f t="shared" si="575"/>
        <v>1997.844</v>
      </c>
      <c r="DC259" s="95">
        <f t="shared" si="575"/>
        <v>1700.753</v>
      </c>
      <c r="DD259" s="657">
        <f t="shared" si="575"/>
        <v>1700.753</v>
      </c>
      <c r="DE259" s="95">
        <f t="shared" si="575"/>
        <v>1687.088</v>
      </c>
      <c r="DF259" s="95">
        <f t="shared" si="575"/>
        <v>1711.45</v>
      </c>
      <c r="DG259" s="95">
        <f>-DG261*DG215</f>
        <v>2041.23323444755</v>
      </c>
      <c r="DH259" s="95">
        <f>-DH261*DH215</f>
        <v>1779.25583111194</v>
      </c>
      <c r="DI259" s="657">
        <f>DI175</f>
        <v>1779.25583111194</v>
      </c>
      <c r="DJ259" s="95">
        <f>-DJ261*DJ215</f>
        <v>1651.23571087151</v>
      </c>
      <c r="DK259" s="95">
        <f>-DK261*DK215</f>
        <v>1736.77712483126</v>
      </c>
      <c r="DL259" s="95">
        <f>-DL261*DL215</f>
        <v>2074.4834627547</v>
      </c>
      <c r="DM259" s="95">
        <f>-DM261*DM215</f>
        <v>1784.44946818833</v>
      </c>
      <c r="DN259" s="657">
        <f>DN175</f>
        <v>1784.44946818833</v>
      </c>
      <c r="DO259" s="95">
        <f>-DO261*DO215</f>
        <v>1682.83031733861</v>
      </c>
      <c r="DP259" s="95">
        <f>-DP261*DP215</f>
        <v>1742.27114368602</v>
      </c>
      <c r="DQ259" s="95">
        <f>-DQ261*DQ215</f>
        <v>2090.34085568416</v>
      </c>
      <c r="DR259" s="95">
        <f>-DR261*DR215</f>
        <v>1808.40491450377</v>
      </c>
      <c r="DS259" s="657">
        <f>DS175</f>
        <v>1808.40491450377</v>
      </c>
    </row>
    <row r="260" s="487" customFormat="1" spans="1:123">
      <c r="A260" s="677"/>
      <c r="B260" s="678" t="s">
        <v>189</v>
      </c>
      <c r="C260" s="636"/>
      <c r="D260" s="486"/>
      <c r="E260" s="486"/>
      <c r="F260" s="486"/>
      <c r="G260" s="486"/>
      <c r="H260" s="636"/>
      <c r="I260" s="486"/>
      <c r="J260" s="486"/>
      <c r="K260" s="486"/>
      <c r="L260" s="486"/>
      <c r="M260" s="636"/>
      <c r="N260" s="486"/>
      <c r="O260" s="486"/>
      <c r="P260" s="486"/>
      <c r="Q260" s="486"/>
      <c r="R260" s="636"/>
      <c r="S260" s="486"/>
      <c r="T260" s="486"/>
      <c r="U260" s="486"/>
      <c r="V260" s="486"/>
      <c r="W260" s="636"/>
      <c r="X260" s="486"/>
      <c r="Y260" s="486"/>
      <c r="Z260" s="486"/>
      <c r="AA260" s="486"/>
      <c r="AB260" s="636"/>
      <c r="AC260" s="486"/>
      <c r="AD260" s="486"/>
      <c r="AE260" s="486"/>
      <c r="AF260" s="486"/>
      <c r="AG260" s="636"/>
      <c r="AH260" s="486"/>
      <c r="AI260" s="486"/>
      <c r="AJ260" s="486"/>
      <c r="AK260" s="486"/>
      <c r="AL260" s="636">
        <f t="shared" ref="AL260:BP260" si="576">AL259/AG259-1</f>
        <v>0.811359167551201</v>
      </c>
      <c r="AM260" s="486">
        <f t="shared" si="576"/>
        <v>0.671437219626531</v>
      </c>
      <c r="AN260" s="486">
        <f t="shared" si="576"/>
        <v>0.410580081904505</v>
      </c>
      <c r="AO260" s="486">
        <f t="shared" si="576"/>
        <v>0.275275027289829</v>
      </c>
      <c r="AP260" s="486">
        <f t="shared" si="576"/>
        <v>0.491128466718542</v>
      </c>
      <c r="AQ260" s="636">
        <f t="shared" si="576"/>
        <v>0.491128466718542</v>
      </c>
      <c r="AR260" s="486">
        <f t="shared" si="576"/>
        <v>0.334633493996044</v>
      </c>
      <c r="AS260" s="486">
        <f t="shared" si="576"/>
        <v>0.300100496099794</v>
      </c>
      <c r="AT260" s="486">
        <f t="shared" si="576"/>
        <v>0.25149642436531</v>
      </c>
      <c r="AU260" s="486">
        <f t="shared" si="576"/>
        <v>0.198863563154707</v>
      </c>
      <c r="AV260" s="636">
        <f t="shared" si="576"/>
        <v>0.198863563154707</v>
      </c>
      <c r="AW260" s="486">
        <f t="shared" si="576"/>
        <v>0.234239311957248</v>
      </c>
      <c r="AX260" s="486">
        <f t="shared" si="576"/>
        <v>0.082807783858065</v>
      </c>
      <c r="AY260" s="486">
        <f t="shared" si="576"/>
        <v>0.114996555972719</v>
      </c>
      <c r="AZ260" s="486">
        <f t="shared" si="576"/>
        <v>0.118362082863131</v>
      </c>
      <c r="BA260" s="636">
        <f t="shared" si="576"/>
        <v>0.118362082863131</v>
      </c>
      <c r="BB260" s="486">
        <f t="shared" si="576"/>
        <v>0.333327695560254</v>
      </c>
      <c r="BC260" s="486">
        <f t="shared" si="576"/>
        <v>0.589823344777963</v>
      </c>
      <c r="BD260" s="486">
        <f t="shared" si="576"/>
        <v>0.556388426048786</v>
      </c>
      <c r="BE260" s="486">
        <f t="shared" si="576"/>
        <v>0.36466682042707</v>
      </c>
      <c r="BF260" s="636">
        <f t="shared" si="576"/>
        <v>0.36466682042707</v>
      </c>
      <c r="BG260" s="486">
        <f t="shared" si="576"/>
        <v>0.21027995890046</v>
      </c>
      <c r="BH260" s="486">
        <f t="shared" si="576"/>
        <v>-0.011860003492429</v>
      </c>
      <c r="BI260" s="486">
        <f t="shared" si="576"/>
        <v>0.0188985137790598</v>
      </c>
      <c r="BJ260" s="486">
        <f t="shared" si="576"/>
        <v>0.0507836019281078</v>
      </c>
      <c r="BK260" s="636">
        <f t="shared" si="576"/>
        <v>0.0507836019281078</v>
      </c>
      <c r="BL260" s="486">
        <f t="shared" si="576"/>
        <v>0.0619082555986443</v>
      </c>
      <c r="BM260" s="486">
        <f t="shared" si="576"/>
        <v>0.140973532074192</v>
      </c>
      <c r="BN260" s="486">
        <f t="shared" si="576"/>
        <v>0.0888251205715007</v>
      </c>
      <c r="BO260" s="486">
        <f t="shared" si="576"/>
        <v>0.104311870040746</v>
      </c>
      <c r="BP260" s="636">
        <f t="shared" si="576"/>
        <v>0.104311870040746</v>
      </c>
      <c r="BQ260" s="486">
        <f t="shared" ref="BQ260:CW260" si="577">BQ259/BL259-1</f>
        <v>0.228639578878105</v>
      </c>
      <c r="BR260" s="486">
        <f t="shared" si="577"/>
        <v>0.241187477873869</v>
      </c>
      <c r="BS260" s="486">
        <f t="shared" si="577"/>
        <v>0.249687572437842</v>
      </c>
      <c r="BT260" s="486">
        <f t="shared" si="577"/>
        <v>0.228424393589067</v>
      </c>
      <c r="BU260" s="636">
        <f t="shared" si="577"/>
        <v>0.228424393589067</v>
      </c>
      <c r="BV260" s="486">
        <f t="shared" si="577"/>
        <v>0.186268392936041</v>
      </c>
      <c r="BW260" s="486">
        <f t="shared" si="577"/>
        <v>0.258796145383424</v>
      </c>
      <c r="BX260" s="486">
        <f t="shared" si="577"/>
        <v>0.26434149006736</v>
      </c>
      <c r="BY260" s="486">
        <f t="shared" si="577"/>
        <v>0.280778674149421</v>
      </c>
      <c r="BZ260" s="636">
        <f t="shared" si="577"/>
        <v>0.280778674149421</v>
      </c>
      <c r="CA260" s="486">
        <f t="shared" si="577"/>
        <v>0.412732558926967</v>
      </c>
      <c r="CB260" s="486">
        <f t="shared" si="577"/>
        <v>0.361078629317775</v>
      </c>
      <c r="CC260" s="486">
        <f t="shared" si="577"/>
        <v>0.229449116730612</v>
      </c>
      <c r="CD260" s="486">
        <f t="shared" si="577"/>
        <v>0.248242570581644</v>
      </c>
      <c r="CE260" s="636">
        <f t="shared" si="577"/>
        <v>0.248242570581644</v>
      </c>
      <c r="CF260" s="486">
        <f t="shared" si="577"/>
        <v>0.171033268408194</v>
      </c>
      <c r="CG260" s="486">
        <f t="shared" si="577"/>
        <v>0.174000740219955</v>
      </c>
      <c r="CH260" s="486">
        <f t="shared" si="577"/>
        <v>0.224270094294349</v>
      </c>
      <c r="CI260" s="673">
        <f t="shared" si="577"/>
        <v>0.493257420082506</v>
      </c>
      <c r="CJ260" s="672">
        <f t="shared" si="577"/>
        <v>0.493257420082506</v>
      </c>
      <c r="CK260" s="673">
        <f t="shared" si="577"/>
        <v>0.739742662609669</v>
      </c>
      <c r="CL260" s="673">
        <f t="shared" si="577"/>
        <v>0.85111339569227</v>
      </c>
      <c r="CM260" s="679">
        <f t="shared" si="577"/>
        <v>0.845233605254794</v>
      </c>
      <c r="CN260" s="673">
        <f t="shared" si="577"/>
        <v>0.497563842434564</v>
      </c>
      <c r="CO260" s="672">
        <f t="shared" si="577"/>
        <v>0.497563842434564</v>
      </c>
      <c r="CP260" s="679">
        <f t="shared" si="577"/>
        <v>0.239422292633957</v>
      </c>
      <c r="CQ260" s="673">
        <f t="shared" si="577"/>
        <v>0.135886916959173</v>
      </c>
      <c r="CR260" s="679">
        <f t="shared" si="577"/>
        <v>-0.0448402609839951</v>
      </c>
      <c r="CS260" s="673">
        <f t="shared" si="577"/>
        <v>-0.0855104475920757</v>
      </c>
      <c r="CT260" s="672">
        <f t="shared" si="577"/>
        <v>-0.0855104475920757</v>
      </c>
      <c r="CU260" s="679">
        <f t="shared" si="577"/>
        <v>-0.148733826779885</v>
      </c>
      <c r="CV260" s="673">
        <f t="shared" si="577"/>
        <v>-0.139521048584588</v>
      </c>
      <c r="CW260" s="679">
        <f t="shared" si="577"/>
        <v>0.0825165888542856</v>
      </c>
      <c r="CX260" s="673">
        <f t="shared" ref="CX260:DI260" si="578">CX259/CS259-1</f>
        <v>0.0895125574001852</v>
      </c>
      <c r="CY260" s="672">
        <f t="shared" si="578"/>
        <v>0.0895125574001852</v>
      </c>
      <c r="CZ260" s="679">
        <f t="shared" si="578"/>
        <v>0.228076656901567</v>
      </c>
      <c r="DA260" s="673">
        <f t="shared" si="578"/>
        <v>0.205401097097848</v>
      </c>
      <c r="DB260" s="673">
        <f t="shared" si="578"/>
        <v>0.109362966039626</v>
      </c>
      <c r="DC260" s="673">
        <f t="shared" si="578"/>
        <v>0.179374112827227</v>
      </c>
      <c r="DD260" s="672">
        <f t="shared" si="578"/>
        <v>0.179374112827227</v>
      </c>
      <c r="DE260" s="679">
        <f t="shared" si="578"/>
        <v>0.0211834578119487</v>
      </c>
      <c r="DF260" s="673">
        <f t="shared" si="578"/>
        <v>-0.00645547060496809</v>
      </c>
      <c r="DG260" s="673">
        <f t="shared" si="578"/>
        <v>0.0217180292593162</v>
      </c>
      <c r="DH260" s="673">
        <f t="shared" si="578"/>
        <v>0.0461576908063339</v>
      </c>
      <c r="DI260" s="672">
        <f t="shared" si="578"/>
        <v>0.0461576908063339</v>
      </c>
      <c r="DJ260" s="673">
        <f t="shared" ref="DJ260" si="579">DJ259/DE259-1</f>
        <v>-0.0212509893547286</v>
      </c>
      <c r="DK260" s="673">
        <f t="shared" ref="DK260" si="580">DK259/DF259-1</f>
        <v>0.0147986355612237</v>
      </c>
      <c r="DL260" s="673">
        <f t="shared" ref="DL260" si="581">DL259/DG259-1</f>
        <v>0.0162892842160416</v>
      </c>
      <c r="DM260" s="673">
        <f t="shared" ref="DM260" si="582">DM259/DH259-1</f>
        <v>0.00291899398926931</v>
      </c>
      <c r="DN260" s="672">
        <f t="shared" ref="DN260" si="583">DN259/DI259-1</f>
        <v>0.00291899398926931</v>
      </c>
      <c r="DO260" s="673">
        <f t="shared" ref="DO260" si="584">DO259/DJ259-1</f>
        <v>0.0191339166535043</v>
      </c>
      <c r="DP260" s="673">
        <f t="shared" ref="DP260" si="585">DP259/DK259-1</f>
        <v>0.00316334132700069</v>
      </c>
      <c r="DQ260" s="673">
        <f t="shared" ref="DQ260" si="586">DQ259/DL259-1</f>
        <v>0.00764401992793196</v>
      </c>
      <c r="DR260" s="673">
        <f t="shared" ref="DR260" si="587">DR259/DM259-1</f>
        <v>0.0134245585221049</v>
      </c>
      <c r="DS260" s="672">
        <f t="shared" ref="DS260" si="588">DS259/DN259-1</f>
        <v>0.0134245585221049</v>
      </c>
    </row>
    <row r="261" spans="1:123">
      <c r="A261" s="3"/>
      <c r="B261" s="144" t="s">
        <v>190</v>
      </c>
      <c r="C261" s="636"/>
      <c r="D261" s="486"/>
      <c r="E261" s="486"/>
      <c r="F261" s="486"/>
      <c r="G261" s="486"/>
      <c r="H261" s="636"/>
      <c r="I261" s="486"/>
      <c r="J261" s="486"/>
      <c r="K261" s="486"/>
      <c r="L261" s="486"/>
      <c r="M261" s="636"/>
      <c r="N261" s="486"/>
      <c r="O261" s="486"/>
      <c r="P261" s="486"/>
      <c r="Q261" s="486"/>
      <c r="R261" s="636"/>
      <c r="S261" s="486"/>
      <c r="T261" s="486"/>
      <c r="U261" s="486"/>
      <c r="V261" s="486"/>
      <c r="W261" s="636"/>
      <c r="X261" s="486"/>
      <c r="Y261" s="486"/>
      <c r="Z261" s="486"/>
      <c r="AA261" s="486"/>
      <c r="AB261" s="636"/>
      <c r="AC261" s="486"/>
      <c r="AD261" s="486"/>
      <c r="AE261" s="486"/>
      <c r="AF261" s="486"/>
      <c r="AG261" s="636"/>
      <c r="AH261" s="486"/>
      <c r="AI261" s="486"/>
      <c r="AJ261" s="486"/>
      <c r="AK261" s="486"/>
      <c r="AL261" s="636">
        <f t="shared" ref="AL261:BQ261" si="589">-AL259/AL215</f>
        <v>0.241236669030437</v>
      </c>
      <c r="AM261" s="486">
        <f t="shared" si="589"/>
        <v>0.22298636349517</v>
      </c>
      <c r="AN261" s="486">
        <f t="shared" si="589"/>
        <v>0.241335237662603</v>
      </c>
      <c r="AO261" s="486">
        <f t="shared" si="589"/>
        <v>0.294652375807617</v>
      </c>
      <c r="AP261" s="486">
        <f t="shared" si="589"/>
        <v>0.255496006794704</v>
      </c>
      <c r="AQ261" s="636">
        <f t="shared" si="589"/>
        <v>0.255496006794704</v>
      </c>
      <c r="AR261" s="486">
        <f t="shared" si="589"/>
        <v>0.219691051814937</v>
      </c>
      <c r="AS261" s="486">
        <f t="shared" si="589"/>
        <v>0.237672672979176</v>
      </c>
      <c r="AT261" s="486">
        <f t="shared" si="589"/>
        <v>0.286368352986772</v>
      </c>
      <c r="AU261" s="486">
        <f t="shared" si="589"/>
        <v>0.247752665381461</v>
      </c>
      <c r="AV261" s="636">
        <f t="shared" si="589"/>
        <v>0.247752665381461</v>
      </c>
      <c r="AW261" s="486">
        <f t="shared" si="589"/>
        <v>0.231884266382893</v>
      </c>
      <c r="AX261" s="486">
        <f t="shared" si="589"/>
        <v>0.220690396763077</v>
      </c>
      <c r="AY261" s="486">
        <f t="shared" si="589"/>
        <v>0.276014486314611</v>
      </c>
      <c r="AZ261" s="486">
        <f t="shared" si="589"/>
        <v>0.235683151139312</v>
      </c>
      <c r="BA261" s="636">
        <f t="shared" si="589"/>
        <v>0.235683151139312</v>
      </c>
      <c r="BB261" s="486">
        <f t="shared" si="589"/>
        <v>0.259368563739134</v>
      </c>
      <c r="BC261" s="486">
        <f t="shared" si="589"/>
        <v>0.292478710874392</v>
      </c>
      <c r="BD261" s="486">
        <f t="shared" si="589"/>
        <v>0.355619991292229</v>
      </c>
      <c r="BE261" s="486">
        <f t="shared" si="589"/>
        <v>0.267087158875147</v>
      </c>
      <c r="BF261" s="636">
        <f t="shared" si="589"/>
        <v>0.267087158875147</v>
      </c>
      <c r="BG261" s="486">
        <f t="shared" si="589"/>
        <v>0.259719166118458</v>
      </c>
      <c r="BH261" s="486">
        <f t="shared" si="589"/>
        <v>0.247250655179148</v>
      </c>
      <c r="BI261" s="486">
        <f t="shared" si="589"/>
        <v>0.32185444614465</v>
      </c>
      <c r="BJ261" s="486">
        <f t="shared" si="589"/>
        <v>0.260690528706514</v>
      </c>
      <c r="BK261" s="636">
        <f t="shared" si="589"/>
        <v>0.260690528706514</v>
      </c>
      <c r="BL261" s="486">
        <f t="shared" si="589"/>
        <v>0.265138265309238</v>
      </c>
      <c r="BM261" s="486">
        <f t="shared" si="589"/>
        <v>0.270999441499659</v>
      </c>
      <c r="BN261" s="486">
        <f t="shared" si="589"/>
        <v>0.331489183997327</v>
      </c>
      <c r="BO261" s="486">
        <f t="shared" si="589"/>
        <v>0.265413431500379</v>
      </c>
      <c r="BP261" s="636">
        <f t="shared" si="589"/>
        <v>0.265413431500379</v>
      </c>
      <c r="BQ261" s="486">
        <f t="shared" si="589"/>
        <v>0.289790350228491</v>
      </c>
      <c r="BR261" s="486">
        <f t="shared" ref="BR261:BZ261" si="590">-BR259/BR215</f>
        <v>0.294226470881341</v>
      </c>
      <c r="BS261" s="486">
        <f t="shared" si="590"/>
        <v>0.359520321602562</v>
      </c>
      <c r="BT261" s="486">
        <f t="shared" si="590"/>
        <v>0.275022553857525</v>
      </c>
      <c r="BU261" s="636">
        <f t="shared" si="590"/>
        <v>0.275022553857525</v>
      </c>
      <c r="BV261" s="486">
        <f t="shared" si="590"/>
        <v>0.289991058184641</v>
      </c>
      <c r="BW261" s="486">
        <f t="shared" si="590"/>
        <v>0.309338984069131</v>
      </c>
      <c r="BX261" s="486">
        <f t="shared" si="590"/>
        <v>0.375933386087332</v>
      </c>
      <c r="BY261" s="486">
        <f t="shared" si="590"/>
        <v>0.295295886463429</v>
      </c>
      <c r="BZ261" s="636">
        <f t="shared" si="590"/>
        <v>0.295295886463429</v>
      </c>
      <c r="CA261" s="486">
        <f t="shared" ref="CA261:CY261" si="591">-CA259/CA215</f>
        <v>0.365379260016055</v>
      </c>
      <c r="CB261" s="486">
        <f t="shared" si="591"/>
        <v>0.389165066290289</v>
      </c>
      <c r="CC261" s="486">
        <f t="shared" si="591"/>
        <v>0.426494326058312</v>
      </c>
      <c r="CD261" s="486">
        <f t="shared" si="591"/>
        <v>0.33398713755019</v>
      </c>
      <c r="CE261" s="636">
        <f t="shared" si="591"/>
        <v>0.33398713755019</v>
      </c>
      <c r="CF261" s="486">
        <f t="shared" si="591"/>
        <v>0.34143807536059</v>
      </c>
      <c r="CG261" s="486">
        <f t="shared" si="591"/>
        <v>0.337396746905451</v>
      </c>
      <c r="CH261" s="486">
        <f t="shared" si="591"/>
        <v>0.381847845830399</v>
      </c>
      <c r="CI261" s="673">
        <f t="shared" si="591"/>
        <v>0.364978104659576</v>
      </c>
      <c r="CJ261" s="672">
        <f t="shared" si="591"/>
        <v>0.364978104659576</v>
      </c>
      <c r="CK261" s="673">
        <f t="shared" si="591"/>
        <v>0.445044644430956</v>
      </c>
      <c r="CL261" s="673">
        <f t="shared" si="591"/>
        <v>0.476263163740993</v>
      </c>
      <c r="CM261" s="679">
        <f t="shared" si="591"/>
        <v>0.533140285897946</v>
      </c>
      <c r="CN261" s="673">
        <f t="shared" si="591"/>
        <v>0.407106954503903</v>
      </c>
      <c r="CO261" s="672">
        <f t="shared" si="591"/>
        <v>0.407106954503903</v>
      </c>
      <c r="CP261" s="679">
        <f t="shared" si="591"/>
        <v>0.431524012968278</v>
      </c>
      <c r="CQ261" s="679">
        <f t="shared" si="591"/>
        <v>0.441693269279614</v>
      </c>
      <c r="CR261" s="679">
        <f t="shared" si="591"/>
        <v>0.430344792262978</v>
      </c>
      <c r="CS261" s="673">
        <f t="shared" si="591"/>
        <v>0.332049057690552</v>
      </c>
      <c r="CT261" s="530">
        <f t="shared" si="591"/>
        <v>0.332049057690552</v>
      </c>
      <c r="CU261" s="679">
        <f t="shared" si="591"/>
        <v>0.330532432432432</v>
      </c>
      <c r="CV261" s="679">
        <f t="shared" si="591"/>
        <v>0.347003415780386</v>
      </c>
      <c r="CW261" s="679">
        <f t="shared" si="591"/>
        <v>0.42986402981968</v>
      </c>
      <c r="CX261" s="679">
        <f t="shared" si="591"/>
        <v>0.334022650652084</v>
      </c>
      <c r="CY261" s="530">
        <f t="shared" si="591"/>
        <v>0.334022650652083</v>
      </c>
      <c r="CZ261" s="679">
        <f t="shared" ref="CZ261:DA261" si="592">-CZ259/CZ215</f>
        <v>0.377964121009575</v>
      </c>
      <c r="DA261" s="679">
        <f t="shared" si="592"/>
        <v>0.386213468156901</v>
      </c>
      <c r="DB261" s="679">
        <f t="shared" ref="DB261:DD261" si="593">-DB259/DB215</f>
        <v>0.433832924366463</v>
      </c>
      <c r="DC261" s="679">
        <f t="shared" si="593"/>
        <v>0.35296550687895</v>
      </c>
      <c r="DD261" s="672">
        <f t="shared" si="593"/>
        <v>0.35296550687895</v>
      </c>
      <c r="DE261" s="679">
        <f t="shared" ref="DE261:DF261" si="594">-DE259/DE215</f>
        <v>0.339883865303415</v>
      </c>
      <c r="DF261" s="680">
        <f t="shared" si="594"/>
        <v>0.351466437209092</v>
      </c>
      <c r="DG261" s="681">
        <f>DB261-1%</f>
        <v>0.423832924366463</v>
      </c>
      <c r="DH261" s="681">
        <f>DC261+3%</f>
        <v>0.38296550687895</v>
      </c>
      <c r="DI261" s="672">
        <f>-DI259/DI215</f>
        <v>0.38296550687895</v>
      </c>
      <c r="DJ261" s="681">
        <f>DE261+2%</f>
        <v>0.359883865303415</v>
      </c>
      <c r="DK261" s="681">
        <f>DF261+2%</f>
        <v>0.371466437209092</v>
      </c>
      <c r="DL261" s="681">
        <f>DG261+2%</f>
        <v>0.443832924366463</v>
      </c>
      <c r="DM261" s="681">
        <f>DH261</f>
        <v>0.38296550687895</v>
      </c>
      <c r="DN261" s="672">
        <f>-DN259/DN215</f>
        <v>0.38296550687895</v>
      </c>
      <c r="DO261" s="681">
        <f>DJ261</f>
        <v>0.359883865303415</v>
      </c>
      <c r="DP261" s="681">
        <f>DK261</f>
        <v>0.371466437209092</v>
      </c>
      <c r="DQ261" s="681">
        <f>DL261</f>
        <v>0.443832924366463</v>
      </c>
      <c r="DR261" s="681">
        <f>DM261</f>
        <v>0.38296550687895</v>
      </c>
      <c r="DS261" s="672">
        <f>-DS259/DS215</f>
        <v>0.38296550687895</v>
      </c>
    </row>
    <row r="262" s="488" customFormat="1" spans="1:123">
      <c r="B262" s="682" t="s">
        <v>191</v>
      </c>
      <c r="C262" s="683"/>
      <c r="D262" s="637"/>
      <c r="E262" s="637"/>
      <c r="F262" s="637"/>
      <c r="G262" s="637"/>
      <c r="H262" s="683"/>
      <c r="I262" s="637"/>
      <c r="J262" s="637"/>
      <c r="K262" s="637"/>
      <c r="L262" s="637"/>
      <c r="M262" s="683"/>
      <c r="N262" s="637"/>
      <c r="O262" s="637"/>
      <c r="P262" s="637"/>
      <c r="Q262" s="637"/>
      <c r="R262" s="683"/>
      <c r="S262" s="637"/>
      <c r="T262" s="637"/>
      <c r="U262" s="637"/>
      <c r="V262" s="637"/>
      <c r="W262" s="683"/>
      <c r="X262" s="637"/>
      <c r="Y262" s="637"/>
      <c r="Z262" s="637"/>
      <c r="AA262" s="637"/>
      <c r="AB262" s="683"/>
      <c r="AC262" s="637"/>
      <c r="AD262" s="637"/>
      <c r="AE262" s="637"/>
      <c r="AF262" s="637"/>
      <c r="AG262" s="683"/>
      <c r="AH262" s="637"/>
      <c r="AI262" s="637"/>
      <c r="AJ262" s="637"/>
      <c r="AK262" s="637"/>
      <c r="AL262" s="683">
        <f t="shared" ref="AL262:CW262" si="595">AL259/AL37</f>
        <v>0.104009735831637</v>
      </c>
      <c r="AM262" s="637">
        <f t="shared" si="595"/>
        <v>0.376897983185042</v>
      </c>
      <c r="AN262" s="637">
        <f t="shared" si="595"/>
        <v>0.443605511014245</v>
      </c>
      <c r="AO262" s="637">
        <f t="shared" si="595"/>
        <v>0.520400458714147</v>
      </c>
      <c r="AP262" s="637">
        <f t="shared" si="595"/>
        <v>0.31972300093308</v>
      </c>
      <c r="AQ262" s="683">
        <f t="shared" si="595"/>
        <v>0.113271130609666</v>
      </c>
      <c r="AR262" s="637">
        <f t="shared" si="595"/>
        <v>0.41561446229127</v>
      </c>
      <c r="AS262" s="637">
        <f t="shared" si="595"/>
        <v>0.473143248585685</v>
      </c>
      <c r="AT262" s="637">
        <f t="shared" si="595"/>
        <v>0.542653329823638</v>
      </c>
      <c r="AU262" s="637">
        <f t="shared" si="595"/>
        <v>0.357183301886974</v>
      </c>
      <c r="AV262" s="683">
        <f t="shared" si="595"/>
        <v>0.116950354075068</v>
      </c>
      <c r="AW262" s="637">
        <f t="shared" si="595"/>
        <v>0.461171864031325</v>
      </c>
      <c r="AX262" s="637">
        <f t="shared" si="595"/>
        <v>0.451727165002675</v>
      </c>
      <c r="AY262" s="637">
        <f t="shared" si="595"/>
        <v>0.548076281128099</v>
      </c>
      <c r="AZ262" s="637">
        <f t="shared" si="595"/>
        <v>0.345425906777031</v>
      </c>
      <c r="BA262" s="683">
        <f t="shared" si="595"/>
        <v>0.115799295909834</v>
      </c>
      <c r="BB262" s="637">
        <f t="shared" si="595"/>
        <v>0.558381183537011</v>
      </c>
      <c r="BC262" s="637">
        <f t="shared" si="595"/>
        <v>0.619427827200283</v>
      </c>
      <c r="BD262" s="637">
        <f t="shared" si="595"/>
        <v>0.745795748530831</v>
      </c>
      <c r="BE262" s="637">
        <f t="shared" si="595"/>
        <v>0.403263777269139</v>
      </c>
      <c r="BF262" s="683">
        <f t="shared" si="595"/>
        <v>0.137833452963155</v>
      </c>
      <c r="BG262" s="637">
        <f t="shared" si="595"/>
        <v>0.577640278013223</v>
      </c>
      <c r="BH262" s="637">
        <f t="shared" si="595"/>
        <v>0.538908108528337</v>
      </c>
      <c r="BI262" s="637">
        <f t="shared" si="595"/>
        <v>0.669550490801152</v>
      </c>
      <c r="BJ262" s="637">
        <f t="shared" si="595"/>
        <v>0.377790718282401</v>
      </c>
      <c r="BK262" s="683">
        <f t="shared" si="595"/>
        <v>0.127296117714102</v>
      </c>
      <c r="BL262" s="637">
        <f t="shared" si="595"/>
        <v>0.584174343224289</v>
      </c>
      <c r="BM262" s="637">
        <f t="shared" si="595"/>
        <v>0.544472630770978</v>
      </c>
      <c r="BN262" s="637">
        <f t="shared" si="595"/>
        <v>0.641147336010623</v>
      </c>
      <c r="BO262" s="637">
        <f t="shared" si="595"/>
        <v>0.354824817345355</v>
      </c>
      <c r="BP262" s="683">
        <f t="shared" si="595"/>
        <v>0.124401465962499</v>
      </c>
      <c r="BQ262" s="637">
        <f t="shared" si="595"/>
        <v>0.574790751509144</v>
      </c>
      <c r="BR262" s="637">
        <f t="shared" si="595"/>
        <v>0.542739460953697</v>
      </c>
      <c r="BS262" s="637">
        <f t="shared" si="595"/>
        <v>0.663395550086604</v>
      </c>
      <c r="BT262" s="637">
        <f t="shared" si="595"/>
        <v>0.346772217929895</v>
      </c>
      <c r="BU262" s="683">
        <f t="shared" si="595"/>
        <v>0.123115184384483</v>
      </c>
      <c r="BV262" s="637">
        <f t="shared" si="595"/>
        <v>0.566275732920882</v>
      </c>
      <c r="BW262" s="637">
        <f t="shared" si="595"/>
        <v>0.559566288410509</v>
      </c>
      <c r="BX262" s="637">
        <f t="shared" si="595"/>
        <v>0.684506046032366</v>
      </c>
      <c r="BY262" s="637">
        <f t="shared" si="595"/>
        <v>0.371031369790575</v>
      </c>
      <c r="BZ262" s="683">
        <f t="shared" si="595"/>
        <v>0.130302696758422</v>
      </c>
      <c r="CA262" s="637">
        <f t="shared" si="595"/>
        <v>0.959947052128805</v>
      </c>
      <c r="CB262" s="637">
        <f t="shared" si="595"/>
        <v>0.745089939331651</v>
      </c>
      <c r="CC262" s="637">
        <f t="shared" si="595"/>
        <v>0.689969626624045</v>
      </c>
      <c r="CD262" s="637">
        <f t="shared" si="595"/>
        <v>0.374218727414645</v>
      </c>
      <c r="CE262" s="683">
        <f t="shared" si="595"/>
        <v>0.147034903268603</v>
      </c>
      <c r="CF262" s="637">
        <f t="shared" si="595"/>
        <v>0.597562914555246</v>
      </c>
      <c r="CG262" s="637">
        <f t="shared" si="595"/>
        <v>0.544482420595912</v>
      </c>
      <c r="CH262" s="637">
        <f t="shared" si="595"/>
        <v>0.650776567631053</v>
      </c>
      <c r="CI262" s="679">
        <f t="shared" si="595"/>
        <v>0.453935981791478</v>
      </c>
      <c r="CJ262" s="684">
        <f t="shared" si="595"/>
        <v>0.154473415905113</v>
      </c>
      <c r="CK262" s="679">
        <f t="shared" si="595"/>
        <v>0.790250535649098</v>
      </c>
      <c r="CL262" s="679">
        <f t="shared" si="595"/>
        <v>0.782558522914606</v>
      </c>
      <c r="CM262" s="679">
        <f t="shared" si="595"/>
        <v>0.937975290930153</v>
      </c>
      <c r="CN262" s="679">
        <f t="shared" si="595"/>
        <v>0.522168683739815</v>
      </c>
      <c r="CO262" s="684">
        <f t="shared" si="595"/>
        <v>0.178455556106281</v>
      </c>
      <c r="CP262" s="679">
        <f t="shared" si="595"/>
        <v>0.789843721886133</v>
      </c>
      <c r="CQ262" s="679">
        <f t="shared" si="595"/>
        <v>0.751755980200664</v>
      </c>
      <c r="CR262" s="679">
        <f t="shared" si="595"/>
        <v>0.754742498246544</v>
      </c>
      <c r="CS262" s="679">
        <f t="shared" si="595"/>
        <v>0.412967071573051</v>
      </c>
      <c r="CT262" s="684">
        <f t="shared" si="595"/>
        <v>0.137598892557217</v>
      </c>
      <c r="CU262" s="679">
        <f t="shared" si="595"/>
        <v>0.60902371370973</v>
      </c>
      <c r="CV262" s="679">
        <f t="shared" si="595"/>
        <v>0.60269759155962</v>
      </c>
      <c r="CW262" s="679">
        <f t="shared" si="595"/>
        <v>0.751417806447306</v>
      </c>
      <c r="CX262" s="679">
        <f t="shared" ref="CX262:DS262" si="596">CX259/CX37</f>
        <v>0.399302837576772</v>
      </c>
      <c r="CY262" s="684">
        <f t="shared" si="596"/>
        <v>0.136197944754341</v>
      </c>
      <c r="CZ262" s="679">
        <f t="shared" si="596"/>
        <v>0.696890739287793</v>
      </c>
      <c r="DA262" s="679">
        <f t="shared" si="596"/>
        <v>0.6821467761806</v>
      </c>
      <c r="DB262" s="679">
        <f t="shared" si="596"/>
        <v>0.778607283157698</v>
      </c>
      <c r="DC262" s="679">
        <f t="shared" si="596"/>
        <v>0.467137039349308</v>
      </c>
      <c r="DD262" s="684">
        <f t="shared" si="596"/>
        <v>0.153185109794102</v>
      </c>
      <c r="DE262" s="679">
        <f t="shared" si="596"/>
        <v>0.682588587244796</v>
      </c>
      <c r="DF262" s="679">
        <f t="shared" si="596"/>
        <v>0.708489831435348</v>
      </c>
      <c r="DG262" s="679">
        <f t="shared" si="596"/>
        <v>0.881517043120784</v>
      </c>
      <c r="DH262" s="679">
        <f t="shared" si="596"/>
        <v>0.545152338165208</v>
      </c>
      <c r="DI262" s="684">
        <f t="shared" si="596"/>
        <v>0.169993635010355</v>
      </c>
      <c r="DJ262" s="679">
        <f t="shared" si="596"/>
        <v>0.699363162738353</v>
      </c>
      <c r="DK262" s="679">
        <f t="shared" si="596"/>
        <v>0.745494530051642</v>
      </c>
      <c r="DL262" s="679">
        <f t="shared" si="596"/>
        <v>0.899934792599274</v>
      </c>
      <c r="DM262" s="679">
        <f t="shared" si="596"/>
        <v>0.554001176310388</v>
      </c>
      <c r="DN262" s="684">
        <f t="shared" si="596"/>
        <v>0.174656235570275</v>
      </c>
      <c r="DO262" s="679">
        <f t="shared" si="596"/>
        <v>0.70352492507546</v>
      </c>
      <c r="DP262" s="679">
        <f t="shared" si="596"/>
        <v>0.739429372702103</v>
      </c>
      <c r="DQ262" s="679">
        <f t="shared" si="596"/>
        <v>0.892703404307483</v>
      </c>
      <c r="DR262" s="679">
        <f t="shared" si="596"/>
        <v>0.557948805104104</v>
      </c>
      <c r="DS262" s="684">
        <f t="shared" si="596"/>
        <v>0.175046675994673</v>
      </c>
    </row>
    <row r="263" spans="1:123">
      <c r="A263" s="3"/>
      <c r="B263" s="123"/>
      <c r="C263" s="74"/>
      <c r="D263" s="6"/>
      <c r="E263" s="6"/>
      <c r="F263" s="6"/>
      <c r="G263" s="6"/>
      <c r="H263" s="74"/>
      <c r="I263" s="6"/>
      <c r="J263" s="6"/>
      <c r="K263" s="6"/>
      <c r="L263" s="6"/>
      <c r="M263" s="74"/>
      <c r="N263" s="6"/>
      <c r="O263" s="6"/>
      <c r="P263" s="6"/>
      <c r="Q263" s="6"/>
      <c r="R263" s="74"/>
      <c r="S263" s="6"/>
      <c r="T263" s="6"/>
      <c r="U263" s="6"/>
      <c r="V263" s="6"/>
      <c r="W263" s="74"/>
      <c r="X263" s="6"/>
      <c r="Y263" s="6"/>
      <c r="Z263" s="6"/>
      <c r="AA263" s="6"/>
      <c r="AB263" s="74"/>
      <c r="AC263" s="6"/>
      <c r="AD263" s="6"/>
      <c r="AE263" s="6"/>
      <c r="AF263" s="6"/>
      <c r="AG263" s="535"/>
      <c r="AH263" s="487"/>
      <c r="AI263" s="487"/>
      <c r="AJ263" s="487"/>
      <c r="AK263" s="487"/>
      <c r="AL263" s="535"/>
      <c r="AM263" s="487"/>
      <c r="AN263" s="487"/>
      <c r="AO263" s="487"/>
      <c r="AP263" s="487"/>
      <c r="AQ263" s="535"/>
      <c r="AR263" s="487"/>
      <c r="AS263" s="487"/>
      <c r="AT263" s="487"/>
      <c r="AU263" s="487"/>
      <c r="AV263" s="535"/>
      <c r="AW263" s="487"/>
      <c r="AX263" s="487"/>
      <c r="AY263" s="487"/>
      <c r="AZ263" s="487"/>
      <c r="BA263" s="535"/>
      <c r="BB263" s="487"/>
      <c r="BC263" s="487"/>
      <c r="BD263" s="487"/>
      <c r="BE263" s="487"/>
      <c r="BF263" s="535"/>
      <c r="BG263" s="487"/>
      <c r="BH263" s="487"/>
      <c r="BI263" s="487"/>
      <c r="BJ263" s="487"/>
      <c r="BK263" s="535"/>
      <c r="BL263" s="487"/>
      <c r="BM263" s="487"/>
      <c r="BN263" s="487"/>
      <c r="BO263" s="487"/>
      <c r="BP263" s="535"/>
      <c r="BQ263" s="667"/>
      <c r="BR263" s="667"/>
      <c r="BS263" s="667"/>
      <c r="BT263" s="487"/>
      <c r="BU263" s="535"/>
      <c r="BV263" s="487"/>
      <c r="BW263" s="487"/>
      <c r="BX263" s="487"/>
      <c r="BY263" s="487"/>
      <c r="BZ263" s="535"/>
      <c r="CA263" s="487"/>
      <c r="CB263" s="487"/>
      <c r="CC263" s="487"/>
      <c r="CD263" s="487"/>
      <c r="CE263" s="535"/>
      <c r="CF263" s="487"/>
      <c r="CG263" s="487"/>
      <c r="CH263" s="487"/>
      <c r="CI263" s="487"/>
      <c r="CJ263" s="535"/>
      <c r="CK263" s="487"/>
      <c r="CL263" s="487"/>
      <c r="CM263" s="487"/>
      <c r="CN263" s="487"/>
      <c r="CO263" s="535"/>
      <c r="CP263" s="487"/>
      <c r="CQ263" s="487"/>
      <c r="CR263" s="487"/>
      <c r="CS263" s="487"/>
      <c r="CT263" s="535"/>
      <c r="CU263" s="487"/>
      <c r="CV263" s="487"/>
      <c r="CW263" s="487"/>
      <c r="CX263" s="487"/>
      <c r="CY263" s="535"/>
      <c r="CZ263" s="487"/>
      <c r="DA263" s="487"/>
      <c r="DB263" s="487"/>
      <c r="DC263" s="487"/>
      <c r="DD263" s="535"/>
      <c r="DE263" s="487"/>
      <c r="DF263" s="487"/>
      <c r="DG263" s="487"/>
      <c r="DH263" s="487"/>
      <c r="DI263" s="535"/>
      <c r="DJ263" s="487"/>
      <c r="DK263" s="487"/>
      <c r="DL263" s="487"/>
      <c r="DM263" s="487"/>
      <c r="DN263" s="535"/>
      <c r="DO263" s="487"/>
      <c r="DP263" s="487"/>
      <c r="DQ263" s="487"/>
      <c r="DR263" s="487"/>
      <c r="DS263" s="535"/>
    </row>
    <row r="264" spans="1:123">
      <c r="A264" s="3"/>
      <c r="B264" s="123" t="s">
        <v>192</v>
      </c>
      <c r="C264" s="60"/>
      <c r="D264" s="88"/>
      <c r="E264" s="88"/>
      <c r="F264" s="88"/>
      <c r="G264" s="88"/>
      <c r="H264" s="60"/>
      <c r="I264" s="88"/>
      <c r="J264" s="88"/>
      <c r="K264" s="88"/>
      <c r="L264" s="88"/>
      <c r="M264" s="60"/>
      <c r="N264" s="88"/>
      <c r="O264" s="88"/>
      <c r="P264" s="88"/>
      <c r="Q264" s="88"/>
      <c r="R264" s="60"/>
      <c r="S264" s="88"/>
      <c r="T264" s="88"/>
      <c r="U264" s="88"/>
      <c r="V264" s="88"/>
      <c r="W264" s="60"/>
      <c r="X264" s="88"/>
      <c r="Y264" s="88"/>
      <c r="Z264" s="88"/>
      <c r="AA264" s="88"/>
      <c r="AB264" s="60"/>
      <c r="AC264" s="88"/>
      <c r="AD264" s="88"/>
      <c r="AE264" s="88"/>
      <c r="AF264" s="88"/>
      <c r="AG264" s="60"/>
      <c r="AH264" s="88">
        <f>AH259-AG259</f>
        <v>6.954</v>
      </c>
      <c r="AI264" s="88">
        <f>AI259-AH259</f>
        <v>24.461</v>
      </c>
      <c r="AJ264" s="88">
        <f>AJ259-AI259</f>
        <v>40.285</v>
      </c>
      <c r="AK264" s="88">
        <f>AK259-AJ259</f>
        <v>-25.072</v>
      </c>
      <c r="AL264" s="60"/>
      <c r="AM264" s="88">
        <f>AM259-AL259</f>
        <v>3.58200000000001</v>
      </c>
      <c r="AN264" s="88">
        <f>AN259-AM259</f>
        <v>17.699</v>
      </c>
      <c r="AO264" s="88">
        <f>AO259-AN259</f>
        <v>39.348</v>
      </c>
      <c r="AP264" s="88">
        <f>AP259-AO259</f>
        <v>-9.50399999999999</v>
      </c>
      <c r="AQ264" s="60"/>
      <c r="AR264" s="88">
        <f>AR259-AQ259</f>
        <v>-11.51</v>
      </c>
      <c r="AS264" s="88">
        <f>AS259-AR259</f>
        <v>19.292</v>
      </c>
      <c r="AT264" s="88">
        <f>AT259-AS259</f>
        <v>43.15</v>
      </c>
      <c r="AU264" s="88">
        <f>AU259-AT259</f>
        <v>-20.064</v>
      </c>
      <c r="AV264" s="60"/>
      <c r="AW264" s="88">
        <f>AW259-AV259</f>
        <v>-8.715</v>
      </c>
      <c r="AX264" s="88">
        <f>AX259-AW259</f>
        <v>-0.87299999999999</v>
      </c>
      <c r="AY264" s="88">
        <f>AY259-AX259</f>
        <v>53.359</v>
      </c>
      <c r="AZ264" s="88">
        <f>AZ259-AY259</f>
        <v>-21.745</v>
      </c>
      <c r="BA264" s="60"/>
      <c r="BB264" s="88">
        <f>BB259-BA259</f>
        <v>28.383</v>
      </c>
      <c r="BC264" s="88">
        <f>BC259-BB259</f>
        <v>44.108</v>
      </c>
      <c r="BD264" s="88">
        <f>BD259-BC259</f>
        <v>77.146</v>
      </c>
      <c r="BE264" s="88">
        <f>BE259-BD259</f>
        <v>-73.744</v>
      </c>
      <c r="BF264" s="60"/>
      <c r="BG264" s="88">
        <f>BG259-BF259</f>
        <v>2.221</v>
      </c>
      <c r="BH264" s="88">
        <f>BH259-BG259</f>
        <v>-8.95100000000002</v>
      </c>
      <c r="BI264" s="88">
        <f>BI259-BH259</f>
        <v>87.235</v>
      </c>
      <c r="BJ264" s="88">
        <f>BJ259-BI259</f>
        <v>-66.082</v>
      </c>
      <c r="BK264" s="60"/>
      <c r="BL264" s="88">
        <f>BL259-BK259</f>
        <v>5.51799999999997</v>
      </c>
      <c r="BM264" s="88">
        <f>BM259-BL259</f>
        <v>12.418</v>
      </c>
      <c r="BN264" s="88">
        <f>BN259-BM259</f>
        <v>80.524</v>
      </c>
      <c r="BO264" s="88">
        <f>BO259-BN259</f>
        <v>-67.33</v>
      </c>
      <c r="BP264" s="60"/>
      <c r="BQ264" s="88">
        <f>BQ259-BP259</f>
        <v>43.883</v>
      </c>
      <c r="BR264" s="88">
        <f>BR259-BQ259</f>
        <v>19.227</v>
      </c>
      <c r="BS264" s="88">
        <f>BS259-BR259</f>
        <v>103.319</v>
      </c>
      <c r="BT264" s="88">
        <f>BT259-BS259</f>
        <v>-91.149</v>
      </c>
      <c r="BU264" s="60"/>
      <c r="BV264" s="88">
        <f>BV259-BU259</f>
        <v>38.164</v>
      </c>
      <c r="BW264" s="88">
        <f>BW259-BV259</f>
        <v>51.288</v>
      </c>
      <c r="BX264" s="88">
        <f>BX259-BW259</f>
        <v>132.808</v>
      </c>
      <c r="BY264" s="88">
        <f>BY259-BX259</f>
        <v>-108.589</v>
      </c>
      <c r="BZ264" s="60"/>
      <c r="CA264" s="88">
        <f>CA259-BZ259</f>
        <v>107.336</v>
      </c>
      <c r="CB264" s="88">
        <f>CB259-CA259</f>
        <v>46.924</v>
      </c>
      <c r="CC264" s="88">
        <f>CC259-CB259</f>
        <v>98.217</v>
      </c>
      <c r="CD264" s="88">
        <f>CD259-CC259</f>
        <v>-123.76</v>
      </c>
      <c r="CE264" s="60"/>
      <c r="CF264" s="88">
        <f>CF259-CE259</f>
        <v>85.66</v>
      </c>
      <c r="CG264" s="88">
        <f>CG259-CF259</f>
        <v>56.946</v>
      </c>
      <c r="CH264" s="88">
        <f>CH259-CG259</f>
        <v>154.064</v>
      </c>
      <c r="CI264" s="88">
        <f>CI259-CH259</f>
        <v>22.581</v>
      </c>
      <c r="CJ264" s="60"/>
      <c r="CK264" s="88">
        <f>CK259-CJ259</f>
        <v>308.559</v>
      </c>
      <c r="CL264" s="88">
        <f>CL259-CK259</f>
        <v>187.036</v>
      </c>
      <c r="CM264" s="88">
        <f>CM259-CL259</f>
        <v>279.64</v>
      </c>
      <c r="CN264" s="88">
        <f>CN259-CM259</f>
        <v>-294.349</v>
      </c>
      <c r="CO264" s="535"/>
      <c r="CP264" s="88">
        <f>CP259-CO259</f>
        <v>132.946</v>
      </c>
      <c r="CQ264" s="88">
        <f>CQ259-CP259</f>
        <v>80.4399999999998</v>
      </c>
      <c r="CR264" s="88">
        <f>CR259-CQ259</f>
        <v>2.86400000000003</v>
      </c>
      <c r="CS264" s="88">
        <f>CS259-CR259</f>
        <v>-340.015</v>
      </c>
      <c r="CT264" s="535"/>
      <c r="CU264" s="88">
        <f>CU259-CT259</f>
        <v>21.665</v>
      </c>
      <c r="CV264" s="88">
        <f>CV259-CU259</f>
        <v>83.7759999999998</v>
      </c>
      <c r="CW264" s="88">
        <f>CW259-CV259</f>
        <v>371.85</v>
      </c>
      <c r="CX264" s="88">
        <f>CX259-CW259</f>
        <v>-358.812</v>
      </c>
      <c r="CY264" s="535"/>
      <c r="CZ264" s="88">
        <f>CZ259-CY259</f>
        <v>210.01</v>
      </c>
      <c r="DA264" s="88">
        <f>DA259-CZ259</f>
        <v>70.479</v>
      </c>
      <c r="DB264" s="88">
        <f>DB259-DA259</f>
        <v>275.274</v>
      </c>
      <c r="DC264" s="88">
        <f>DC259-DB259</f>
        <v>-297.091</v>
      </c>
      <c r="DD264" s="535"/>
      <c r="DE264" s="88">
        <f>DE259-DD259</f>
        <v>-13.665</v>
      </c>
      <c r="DF264" s="88">
        <f>DF259-DE259</f>
        <v>24.3620000000001</v>
      </c>
      <c r="DG264" s="88">
        <f>DG259-DF259</f>
        <v>329.783234447549</v>
      </c>
      <c r="DH264" s="88">
        <f>DH259-DG259</f>
        <v>-261.977403335605</v>
      </c>
      <c r="DI264" s="535"/>
      <c r="DJ264" s="88">
        <f>DJ259-DI259</f>
        <v>-128.020120240435</v>
      </c>
      <c r="DK264" s="88">
        <f>DK259-DJ259</f>
        <v>85.5414139597467</v>
      </c>
      <c r="DL264" s="88">
        <f>DL259-DK259</f>
        <v>337.706337923439</v>
      </c>
      <c r="DM264" s="88">
        <f>DM259-DL259</f>
        <v>-290.033994566362</v>
      </c>
      <c r="DN264" s="535"/>
      <c r="DO264" s="88">
        <f>DO259-DN259</f>
        <v>-101.619150849718</v>
      </c>
      <c r="DP264" s="88">
        <f>DP259-DO259</f>
        <v>59.4408263474097</v>
      </c>
      <c r="DQ264" s="88">
        <f>DQ259-DP259</f>
        <v>348.069711998133</v>
      </c>
      <c r="DR264" s="88">
        <f>DR259-DQ259</f>
        <v>-281.935941180391</v>
      </c>
      <c r="DS264" s="535"/>
    </row>
    <row r="265" s="4" customFormat="1" spans="1:123">
      <c r="A265" s="3"/>
      <c r="B265" s="144" t="s">
        <v>193</v>
      </c>
      <c r="C265" s="636"/>
      <c r="D265" s="486"/>
      <c r="E265" s="486"/>
      <c r="F265" s="486"/>
      <c r="G265" s="486"/>
      <c r="H265" s="636"/>
      <c r="I265" s="486"/>
      <c r="J265" s="486"/>
      <c r="K265" s="486"/>
      <c r="L265" s="486"/>
      <c r="M265" s="636"/>
      <c r="N265" s="486"/>
      <c r="O265" s="486"/>
      <c r="P265" s="486"/>
      <c r="Q265" s="486"/>
      <c r="R265" s="636"/>
      <c r="S265" s="486"/>
      <c r="T265" s="486"/>
      <c r="U265" s="486"/>
      <c r="V265" s="486"/>
      <c r="W265" s="636"/>
      <c r="X265" s="486"/>
      <c r="Y265" s="486"/>
      <c r="Z265" s="486"/>
      <c r="AA265" s="486"/>
      <c r="AB265" s="636"/>
      <c r="AC265" s="486"/>
      <c r="AD265" s="486"/>
      <c r="AE265" s="486"/>
      <c r="AF265" s="486"/>
      <c r="AG265" s="636"/>
      <c r="AH265" s="486"/>
      <c r="AI265" s="486">
        <f>AI259/AH259-1</f>
        <v>0.379693587693836</v>
      </c>
      <c r="AJ265" s="486">
        <f>AJ259/AI259-1</f>
        <v>0.453231177714774</v>
      </c>
      <c r="AK265" s="486">
        <f>AK259/AJ259-1</f>
        <v>-0.194102300087482</v>
      </c>
      <c r="AL265" s="636"/>
      <c r="AM265" s="486">
        <f>AM259/AK259-1</f>
        <v>0.0344102135508229</v>
      </c>
      <c r="AN265" s="486">
        <f>AN259/AM259-1</f>
        <v>0.164368168352232</v>
      </c>
      <c r="AO265" s="486">
        <f>AO259/AN259-1</f>
        <v>0.313834963071671</v>
      </c>
      <c r="AP265" s="486">
        <f>AP259/AO259-1</f>
        <v>-0.057695810011777</v>
      </c>
      <c r="AQ265" s="636"/>
      <c r="AR265" s="486">
        <f>AR259/AP259-1</f>
        <v>-0.0741518599167645</v>
      </c>
      <c r="AS265" s="486">
        <f>AS259/AR259-1</f>
        <v>0.134240703629481</v>
      </c>
      <c r="AT265" s="486">
        <f>AT259/AS259-1</f>
        <v>0.26471743024711</v>
      </c>
      <c r="AU265" s="486">
        <f>AU259/AT259-1</f>
        <v>-0.0973253005035071</v>
      </c>
      <c r="AV265" s="636"/>
      <c r="AW265" s="486">
        <f>AW259/AU259-1</f>
        <v>-0.0468321779783976</v>
      </c>
      <c r="AX265" s="486">
        <f>AX259/AW259-1</f>
        <v>-0.00492177589852005</v>
      </c>
      <c r="AY265" s="486">
        <f>AY259/AX259-1</f>
        <v>0.302313854800512</v>
      </c>
      <c r="AZ265" s="486">
        <f>AZ259/AY259-1</f>
        <v>-0.094600649958018</v>
      </c>
      <c r="BA265" s="636"/>
      <c r="BB265" s="486">
        <f>BB259/AZ259-1</f>
        <v>0.136380672317361</v>
      </c>
      <c r="BC265" s="486">
        <f>BC259/BB259-1</f>
        <v>0.186503959847611</v>
      </c>
      <c r="BD265" s="486">
        <f>BD259/BC259-1</f>
        <v>0.274925429515301</v>
      </c>
      <c r="BE265" s="486">
        <f>BE259/BD259-1</f>
        <v>-0.206131045721489</v>
      </c>
      <c r="BF265" s="636"/>
      <c r="BG265" s="486">
        <f>BG259/BE259-1</f>
        <v>0.0078201747127733</v>
      </c>
      <c r="BH265" s="486">
        <f>BH259/BG259-1</f>
        <v>-0.0312720539426337</v>
      </c>
      <c r="BI265" s="486">
        <f>BI259/BH259-1</f>
        <v>0.31461091535962</v>
      </c>
      <c r="BJ265" s="486">
        <f>BJ259/BI259-1</f>
        <v>-0.181287961504908</v>
      </c>
      <c r="BK265" s="636"/>
      <c r="BL265" s="486">
        <f>BL259/BJ259-1</f>
        <v>0.0184899742654943</v>
      </c>
      <c r="BM265" s="486">
        <f>BM259/BL259-1</f>
        <v>0.0408554038493174</v>
      </c>
      <c r="BN265" s="486">
        <f>BN259/BM259-1</f>
        <v>0.254526374348859</v>
      </c>
      <c r="BO265" s="486">
        <f>BO259/BN259-1</f>
        <v>-0.169643127097548</v>
      </c>
      <c r="BP265" s="636"/>
      <c r="BQ265" s="486">
        <f>BQ259/BO259-1</f>
        <v>0.133155521571055</v>
      </c>
      <c r="BR265" s="486">
        <f>BR259/BQ259-1</f>
        <v>0.0514854931783797</v>
      </c>
      <c r="BS265" s="486">
        <f>BS259/BR259-1</f>
        <v>0.263117818433705</v>
      </c>
      <c r="BT265" s="486">
        <f>BT259/BS259-1</f>
        <v>-0.183771479724431</v>
      </c>
      <c r="BU265" s="636"/>
      <c r="BV265" s="486">
        <f>BV259/BT259-1</f>
        <v>0.0942688752649181</v>
      </c>
      <c r="BW265" s="486">
        <f>BW259/BV259-1</f>
        <v>0.115772698338171</v>
      </c>
      <c r="BX265" s="486">
        <f>BX259/BW259-1</f>
        <v>0.268682201281019</v>
      </c>
      <c r="BY265" s="486">
        <f>BY259/BX259-1</f>
        <v>-0.173160028193181</v>
      </c>
      <c r="BZ265" s="636"/>
      <c r="CA265" s="486">
        <f>CA259/BY259-1</f>
        <v>0.207007346006754</v>
      </c>
      <c r="CB265" s="486">
        <f>CB259/CA259-1</f>
        <v>0.0749765518519643</v>
      </c>
      <c r="CC265" s="486">
        <f>CC259/CB259-1</f>
        <v>0.145988319983115</v>
      </c>
      <c r="CD265" s="486">
        <f>CD259/CC259-1</f>
        <v>-0.16052088872748</v>
      </c>
      <c r="CE265" s="636"/>
      <c r="CF265" s="486">
        <f>CF259/CD259-1</f>
        <v>0.132348624136706</v>
      </c>
      <c r="CG265" s="486">
        <f>CG259/CE259-1</f>
        <v>0.220332802867605</v>
      </c>
      <c r="CH265" s="486">
        <f>CH259/CG259-1</f>
        <v>0.195058214616705</v>
      </c>
      <c r="CI265" s="486">
        <f>CI259/CH259-1</f>
        <v>0.0239230850725713</v>
      </c>
      <c r="CJ265" s="636"/>
      <c r="CK265" s="486">
        <f>CK259/CI259-1</f>
        <v>0.31926028551001</v>
      </c>
      <c r="CL265" s="486">
        <f>CL259/CJ259-1</f>
        <v>0.512782972453675</v>
      </c>
      <c r="CM265" s="486">
        <f>CM259/CL259-1</f>
        <v>0.191262287322957</v>
      </c>
      <c r="CN265" s="486">
        <f>CN259/CM259-1</f>
        <v>-0.168999423556998</v>
      </c>
      <c r="CO265" s="636"/>
      <c r="CP265" s="486">
        <f>CP259/CN259-1</f>
        <v>0.0918536901836231</v>
      </c>
      <c r="CQ265" s="486">
        <f>CQ259/CP259-1</f>
        <v>0.0509013087913597</v>
      </c>
      <c r="CR265" s="486">
        <f>CR259/CQ259-1</f>
        <v>0.00172451893809611</v>
      </c>
      <c r="CS265" s="486">
        <f>CS259/CR259-1</f>
        <v>-0.204382979976761</v>
      </c>
      <c r="CT265" s="636"/>
      <c r="CU265" s="486">
        <f>CU259/CS259-1</f>
        <v>0.0163682134055403</v>
      </c>
      <c r="CV265" s="486">
        <f>CV259/CU259-1</f>
        <v>0.0622746265239538</v>
      </c>
      <c r="CW265" s="486">
        <f>CW259/CV259-1</f>
        <v>0.260209104974448</v>
      </c>
      <c r="CX265" s="486">
        <f>CX259/CW259-1</f>
        <v>-0.199241154249586</v>
      </c>
      <c r="CY265" s="636"/>
      <c r="CZ265" s="486">
        <f>CZ259/CX259-1</f>
        <v>0.145629822457962</v>
      </c>
      <c r="DA265" s="486">
        <f>DA259/CZ259-1</f>
        <v>0.0426604829879227</v>
      </c>
      <c r="DB265" s="486">
        <f>DB259/DA259-1</f>
        <v>0.159804245981295</v>
      </c>
      <c r="DC265" s="486">
        <f>DC259/DB259-1</f>
        <v>-0.148705804857637</v>
      </c>
      <c r="DD265" s="636"/>
      <c r="DE265" s="486">
        <f>DE259/DC259-1</f>
        <v>-0.00803467640509814</v>
      </c>
      <c r="DF265" s="486">
        <f>DF259/DE259-1</f>
        <v>0.0144402663050178</v>
      </c>
      <c r="DG265" s="486">
        <f>DG259/DF259-1</f>
        <v>0.192692298605013</v>
      </c>
      <c r="DH265" s="486">
        <f>DH259/DG259-1</f>
        <v>-0.128342709159597</v>
      </c>
      <c r="DI265" s="636"/>
      <c r="DJ265" s="486">
        <f>DJ259/DH259-1</f>
        <v>-0.0719514968010133</v>
      </c>
      <c r="DK265" s="486">
        <f>DK259/DJ259-1</f>
        <v>0.0518044839973808</v>
      </c>
      <c r="DL265" s="486">
        <f>DL259/DK259-1</f>
        <v>0.194444257179084</v>
      </c>
      <c r="DM265" s="486">
        <f>DM259/DL259-1</f>
        <v>-0.139810222531843</v>
      </c>
      <c r="DN265" s="636"/>
      <c r="DO265" s="486">
        <f>DO259/DM259-1</f>
        <v>-0.0569470599539517</v>
      </c>
      <c r="DP265" s="486">
        <f>DP259/DO259-1</f>
        <v>0.0353219369386064</v>
      </c>
      <c r="DQ265" s="486">
        <f>DQ259/DP259-1</f>
        <v>0.199779301436251</v>
      </c>
      <c r="DR265" s="486">
        <f>DR259/DQ259-1</f>
        <v>-0.134875582809252</v>
      </c>
      <c r="DS265" s="636"/>
    </row>
    <row r="266" spans="1:123">
      <c r="A266" s="6"/>
      <c r="B266" s="33"/>
      <c r="C266" s="74"/>
      <c r="D266" s="6"/>
      <c r="E266" s="6"/>
      <c r="F266" s="6"/>
      <c r="G266" s="6"/>
      <c r="H266" s="74"/>
      <c r="I266" s="6"/>
      <c r="J266" s="6"/>
      <c r="K266" s="6"/>
      <c r="L266" s="6"/>
      <c r="M266" s="74"/>
      <c r="N266" s="6"/>
      <c r="O266" s="6"/>
      <c r="P266" s="6"/>
      <c r="Q266" s="6"/>
      <c r="R266" s="74"/>
      <c r="S266" s="6"/>
      <c r="T266" s="6"/>
      <c r="U266" s="6"/>
      <c r="V266" s="6"/>
      <c r="W266" s="74"/>
      <c r="X266" s="6"/>
      <c r="Y266" s="6"/>
      <c r="Z266" s="6"/>
      <c r="AA266" s="6"/>
      <c r="AB266" s="74"/>
      <c r="AC266" s="6"/>
      <c r="AD266" s="6"/>
      <c r="AE266" s="6"/>
      <c r="AF266" s="6"/>
      <c r="AG266" s="74"/>
      <c r="AH266" s="6"/>
      <c r="AI266" s="6"/>
      <c r="AJ266" s="6"/>
      <c r="AK266" s="6"/>
      <c r="AL266" s="74"/>
      <c r="AM266" s="6"/>
      <c r="AN266" s="6"/>
      <c r="AO266" s="6"/>
      <c r="AP266" s="6"/>
      <c r="AQ266" s="74"/>
      <c r="AR266" s="6"/>
      <c r="AS266" s="6"/>
      <c r="AT266" s="6"/>
      <c r="AU266" s="6"/>
      <c r="AV266" s="74"/>
      <c r="AW266" s="6"/>
      <c r="AX266" s="6"/>
      <c r="AY266" s="6"/>
      <c r="AZ266" s="6"/>
      <c r="BA266" s="74"/>
      <c r="BB266" s="6"/>
      <c r="BC266" s="6"/>
      <c r="BD266" s="6"/>
      <c r="BE266" s="6"/>
      <c r="BF266" s="74"/>
      <c r="BG266" s="6"/>
      <c r="BH266" s="6"/>
      <c r="BI266" s="6"/>
      <c r="BJ266" s="6"/>
      <c r="BK266" s="74"/>
      <c r="BL266" s="6"/>
      <c r="BM266" s="6"/>
      <c r="BN266" s="6"/>
      <c r="BO266" s="6"/>
      <c r="BP266" s="74"/>
      <c r="BQ266" s="6"/>
      <c r="BR266" s="6"/>
      <c r="BS266" s="6"/>
      <c r="BT266" s="6"/>
      <c r="BU266" s="74"/>
      <c r="BV266" s="6"/>
      <c r="BW266" s="6"/>
      <c r="BX266" s="6"/>
      <c r="BY266" s="6"/>
      <c r="BZ266" s="74"/>
      <c r="CA266" s="6"/>
      <c r="CB266" s="6"/>
      <c r="CC266" s="6"/>
      <c r="CD266" s="6"/>
      <c r="CE266" s="74"/>
      <c r="CF266" s="6"/>
      <c r="CG266" s="6"/>
      <c r="CH266" s="6"/>
      <c r="CI266" s="6"/>
      <c r="CJ266" s="74"/>
      <c r="CK266" s="6"/>
      <c r="CL266" s="6"/>
      <c r="CM266" s="6"/>
      <c r="CN266" s="6"/>
      <c r="CO266" s="74"/>
      <c r="CP266" s="6"/>
      <c r="CQ266" s="6"/>
      <c r="CR266" s="6"/>
      <c r="CS266" s="6"/>
      <c r="CT266" s="74"/>
      <c r="CU266" s="6"/>
      <c r="CV266" s="6"/>
      <c r="CW266" s="6"/>
      <c r="CX266" s="6"/>
      <c r="CY266" s="74"/>
      <c r="CZ266" s="6"/>
      <c r="DA266" s="6"/>
      <c r="DB266" s="6"/>
      <c r="DC266" s="6"/>
      <c r="DD266" s="74"/>
      <c r="DE266" s="6"/>
      <c r="DF266" s="6"/>
      <c r="DG266" s="6"/>
      <c r="DH266" s="6"/>
      <c r="DI266" s="74"/>
      <c r="DJ266" s="6"/>
      <c r="DK266" s="6"/>
      <c r="DL266" s="6"/>
      <c r="DM266" s="6"/>
      <c r="DN266" s="74"/>
      <c r="DO266" s="6"/>
      <c r="DP266" s="6"/>
      <c r="DQ266" s="6"/>
      <c r="DR266" s="6"/>
      <c r="DS266" s="74"/>
    </row>
    <row r="267" spans="1:123">
      <c r="A267" s="132"/>
      <c r="B267" s="184" t="s">
        <v>194</v>
      </c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7"/>
      <c r="AL267" s="117"/>
      <c r="AM267" s="117"/>
      <c r="AN267" s="117"/>
      <c r="AO267" s="117"/>
      <c r="AP267" s="117"/>
      <c r="AQ267" s="117"/>
      <c r="AR267" s="117"/>
      <c r="AS267" s="117"/>
      <c r="AT267" s="117"/>
      <c r="AU267" s="117"/>
      <c r="AV267" s="117"/>
      <c r="AW267" s="117"/>
      <c r="AX267" s="117"/>
      <c r="AY267" s="117"/>
      <c r="AZ267" s="117"/>
      <c r="BA267" s="117"/>
      <c r="BB267" s="117"/>
      <c r="BC267" s="117"/>
      <c r="BD267" s="117"/>
      <c r="BE267" s="117"/>
      <c r="BF267" s="117"/>
      <c r="BG267" s="117"/>
      <c r="BH267" s="117"/>
      <c r="BI267" s="117"/>
      <c r="BJ267" s="117"/>
      <c r="BK267" s="117"/>
      <c r="BL267" s="117"/>
      <c r="BM267" s="117"/>
      <c r="BN267" s="117"/>
      <c r="BO267" s="117"/>
      <c r="BP267" s="117"/>
      <c r="BQ267" s="117"/>
      <c r="BR267" s="117"/>
      <c r="BS267" s="117"/>
      <c r="BT267" s="117"/>
      <c r="BU267" s="117"/>
      <c r="BV267" s="117"/>
      <c r="BW267" s="117"/>
      <c r="BX267" s="117"/>
      <c r="BY267" s="117"/>
      <c r="BZ267" s="117"/>
      <c r="CA267" s="117"/>
      <c r="CB267" s="117"/>
      <c r="CC267" s="117"/>
      <c r="CD267" s="117"/>
      <c r="CE267" s="117"/>
      <c r="CF267" s="117"/>
      <c r="CG267" s="117"/>
      <c r="CH267" s="117"/>
      <c r="CI267" s="117"/>
      <c r="CJ267" s="117"/>
      <c r="CK267" s="117"/>
      <c r="CL267" s="117"/>
      <c r="CM267" s="117"/>
      <c r="CN267" s="117"/>
      <c r="CO267" s="117"/>
      <c r="CP267" s="117"/>
      <c r="CQ267" s="117"/>
      <c r="CR267" s="117"/>
      <c r="CS267" s="117"/>
      <c r="CT267" s="117"/>
      <c r="CU267" s="117"/>
      <c r="CV267" s="117"/>
      <c r="CW267" s="117"/>
      <c r="CX267" s="117"/>
      <c r="CY267" s="117"/>
      <c r="CZ267" s="117"/>
      <c r="DA267" s="117"/>
      <c r="DB267" s="117"/>
      <c r="DC267" s="117"/>
      <c r="DD267" s="117"/>
      <c r="DE267" s="117"/>
      <c r="DF267" s="117"/>
      <c r="DG267" s="117"/>
      <c r="DH267" s="117"/>
      <c r="DI267" s="117"/>
      <c r="DJ267" s="117"/>
      <c r="DK267" s="117"/>
      <c r="DL267" s="117"/>
      <c r="DM267" s="117"/>
      <c r="DN267" s="117"/>
      <c r="DO267" s="117"/>
      <c r="DP267" s="117"/>
      <c r="DQ267" s="117"/>
      <c r="DR267" s="117"/>
      <c r="DS267" s="507"/>
    </row>
    <row r="268" spans="1:123">
      <c r="A268" s="132"/>
      <c r="B268" s="685"/>
      <c r="C268" s="131"/>
      <c r="D268" s="132"/>
      <c r="E268" s="132"/>
      <c r="F268" s="132"/>
      <c r="G268" s="132"/>
      <c r="H268" s="131"/>
      <c r="I268" s="132"/>
      <c r="J268" s="132"/>
      <c r="K268" s="132"/>
      <c r="L268" s="132"/>
      <c r="M268" s="131"/>
      <c r="N268" s="190"/>
      <c r="O268" s="190"/>
      <c r="P268" s="190"/>
      <c r="Q268" s="190"/>
      <c r="R268" s="131"/>
      <c r="S268" s="190"/>
      <c r="T268" s="190"/>
      <c r="U268" s="190"/>
      <c r="V268" s="190"/>
      <c r="W268" s="131"/>
      <c r="X268" s="190"/>
      <c r="Y268" s="190"/>
      <c r="Z268" s="190"/>
      <c r="AA268" s="190"/>
      <c r="AB268" s="131"/>
      <c r="AC268" s="190"/>
      <c r="AD268" s="190"/>
      <c r="AE268" s="190"/>
      <c r="AF268" s="190"/>
      <c r="AG268" s="131"/>
      <c r="AH268" s="132"/>
      <c r="AI268" s="132"/>
      <c r="AJ268" s="132"/>
      <c r="AK268" s="132"/>
      <c r="AL268" s="131"/>
      <c r="AM268" s="132"/>
      <c r="AN268" s="132"/>
      <c r="AO268" s="132"/>
      <c r="AP268" s="132"/>
      <c r="AQ268" s="131"/>
      <c r="AR268" s="132"/>
      <c r="AS268" s="132"/>
      <c r="AT268" s="132"/>
      <c r="AU268" s="132"/>
      <c r="AV268" s="131"/>
      <c r="AW268" s="132"/>
      <c r="AX268" s="132"/>
      <c r="AY268" s="132"/>
      <c r="AZ268" s="132"/>
      <c r="BA268" s="131"/>
      <c r="BB268" s="132"/>
      <c r="BC268" s="132"/>
      <c r="BD268" s="132"/>
      <c r="BE268" s="132"/>
      <c r="BF268" s="131"/>
      <c r="BG268" s="132"/>
      <c r="BH268" s="132"/>
      <c r="BI268" s="132"/>
      <c r="BJ268" s="132"/>
      <c r="BK268" s="131"/>
      <c r="BL268" s="132"/>
      <c r="BM268" s="132"/>
      <c r="BN268" s="132"/>
      <c r="BO268" s="132"/>
      <c r="BP268" s="131"/>
      <c r="BQ268" s="190"/>
      <c r="BR268" s="190"/>
      <c r="BS268" s="190"/>
      <c r="BT268" s="190"/>
      <c r="BU268" s="131"/>
      <c r="BV268" s="190"/>
      <c r="BW268" s="190"/>
      <c r="BX268" s="190"/>
      <c r="BY268" s="190"/>
      <c r="BZ268" s="131"/>
      <c r="CA268" s="190"/>
      <c r="CB268" s="190"/>
      <c r="CC268" s="190"/>
      <c r="CD268" s="190"/>
      <c r="CE268" s="131"/>
      <c r="CF268" s="190"/>
      <c r="CG268" s="190"/>
      <c r="CH268" s="190"/>
      <c r="CI268" s="190"/>
      <c r="CJ268" s="131"/>
      <c r="CK268" s="190"/>
      <c r="CL268" s="190"/>
      <c r="CM268" s="190"/>
      <c r="CN268" s="190"/>
      <c r="CO268" s="131"/>
      <c r="CP268" s="190"/>
      <c r="CQ268" s="190"/>
      <c r="CR268" s="190"/>
      <c r="CS268" s="190"/>
      <c r="CT268" s="131"/>
      <c r="CU268" s="190"/>
      <c r="CV268" s="190"/>
      <c r="CW268" s="190"/>
      <c r="CX268" s="190"/>
      <c r="CY268" s="131"/>
      <c r="CZ268" s="190"/>
      <c r="DA268" s="190"/>
      <c r="DB268" s="190"/>
      <c r="DC268" s="190"/>
      <c r="DD268" s="131"/>
      <c r="DE268" s="190"/>
      <c r="DF268" s="190"/>
      <c r="DG268" s="190"/>
      <c r="DH268" s="190"/>
      <c r="DI268" s="131"/>
      <c r="DJ268" s="190"/>
      <c r="DK268" s="190"/>
      <c r="DL268" s="190"/>
      <c r="DM268" s="190"/>
      <c r="DN268" s="131"/>
      <c r="DO268" s="190"/>
      <c r="DP268" s="190"/>
      <c r="DQ268" s="190"/>
      <c r="DR268" s="190"/>
      <c r="DS268" s="131"/>
    </row>
    <row r="269" s="489" customFormat="1" spans="1:123">
      <c r="A269" s="349"/>
      <c r="B269" s="686" t="s">
        <v>195</v>
      </c>
      <c r="C269" s="350"/>
      <c r="D269" s="349"/>
      <c r="E269" s="349"/>
      <c r="F269" s="349"/>
      <c r="G269" s="349"/>
      <c r="H269" s="350"/>
      <c r="I269" s="349"/>
      <c r="J269" s="349"/>
      <c r="K269" s="349"/>
      <c r="L269" s="349"/>
      <c r="M269" s="215">
        <f>M5-H5</f>
        <v>365</v>
      </c>
      <c r="N269" s="187"/>
      <c r="O269" s="187"/>
      <c r="P269" s="187"/>
      <c r="Q269" s="187"/>
      <c r="R269" s="215">
        <f>R5-M5</f>
        <v>365</v>
      </c>
      <c r="S269" s="187"/>
      <c r="T269" s="187"/>
      <c r="U269" s="187"/>
      <c r="V269" s="187"/>
      <c r="W269" s="215">
        <f>W5-R5</f>
        <v>366</v>
      </c>
      <c r="X269" s="187"/>
      <c r="Y269" s="187"/>
      <c r="Z269" s="187"/>
      <c r="AA269" s="187"/>
      <c r="AB269" s="215">
        <f>AB5-W5</f>
        <v>365</v>
      </c>
      <c r="AC269" s="187"/>
      <c r="AD269" s="187"/>
      <c r="AE269" s="187"/>
      <c r="AF269" s="187"/>
      <c r="AG269" s="215">
        <f>AG5-AB5</f>
        <v>365</v>
      </c>
      <c r="AH269" s="187"/>
      <c r="AI269" s="187"/>
      <c r="AJ269" s="187"/>
      <c r="AK269" s="187"/>
      <c r="AL269" s="215">
        <f>AL5-AG5</f>
        <v>365</v>
      </c>
      <c r="AM269" s="187">
        <f>AM5-AL5</f>
        <v>90</v>
      </c>
      <c r="AN269" s="187">
        <f>AN5-AM5</f>
        <v>92</v>
      </c>
      <c r="AO269" s="187">
        <f>AO5-AN5</f>
        <v>92</v>
      </c>
      <c r="AP269" s="187">
        <f>AP5-AO5</f>
        <v>92</v>
      </c>
      <c r="AQ269" s="215">
        <f>AQ5-AL5</f>
        <v>366</v>
      </c>
      <c r="AR269" s="187">
        <f>AR5-AQ5</f>
        <v>89</v>
      </c>
      <c r="AS269" s="187">
        <f>AS5-AR5</f>
        <v>92</v>
      </c>
      <c r="AT269" s="187">
        <f>AT5-AS5</f>
        <v>92</v>
      </c>
      <c r="AU269" s="187">
        <f>AU5-AT5</f>
        <v>92</v>
      </c>
      <c r="AV269" s="215">
        <f>AV5-AQ5</f>
        <v>365</v>
      </c>
      <c r="AW269" s="187">
        <f>AW5-AV5</f>
        <v>89</v>
      </c>
      <c r="AX269" s="187">
        <f>AX5-AW5</f>
        <v>92</v>
      </c>
      <c r="AY269" s="187">
        <f>AY5-AX5</f>
        <v>92</v>
      </c>
      <c r="AZ269" s="187">
        <f>AZ5-AY5</f>
        <v>92</v>
      </c>
      <c r="BA269" s="215">
        <f>BA5-AV5</f>
        <v>365</v>
      </c>
      <c r="BB269" s="187">
        <f>BB5-BA5</f>
        <v>89</v>
      </c>
      <c r="BC269" s="187">
        <f>BC5-BB5</f>
        <v>92</v>
      </c>
      <c r="BD269" s="187">
        <f>BD5-BC5</f>
        <v>92</v>
      </c>
      <c r="BE269" s="187">
        <f>BE5-BD5</f>
        <v>92</v>
      </c>
      <c r="BF269" s="215">
        <f>BF5-BA5</f>
        <v>365</v>
      </c>
      <c r="BG269" s="187">
        <f>BG5-BF5</f>
        <v>90</v>
      </c>
      <c r="BH269" s="187">
        <f>BH5-BG5</f>
        <v>92</v>
      </c>
      <c r="BI269" s="187">
        <f>BI5-BH5</f>
        <v>92</v>
      </c>
      <c r="BJ269" s="187">
        <f>BJ5-BI5</f>
        <v>92</v>
      </c>
      <c r="BK269" s="215">
        <f>BK5-BF5</f>
        <v>366</v>
      </c>
      <c r="BL269" s="187">
        <f>BL5-BK5</f>
        <v>89</v>
      </c>
      <c r="BM269" s="187">
        <f>BM5-BL5</f>
        <v>92</v>
      </c>
      <c r="BN269" s="187">
        <f>BN5-BM5</f>
        <v>92</v>
      </c>
      <c r="BO269" s="187">
        <f>BO5-BN5</f>
        <v>92</v>
      </c>
      <c r="BP269" s="215">
        <f>BP5-BK5</f>
        <v>365</v>
      </c>
      <c r="BQ269" s="187">
        <f>BQ5-BP5</f>
        <v>89</v>
      </c>
      <c r="BR269" s="187">
        <f>BR5-BQ5</f>
        <v>92</v>
      </c>
      <c r="BS269" s="187">
        <f>BS5-BR5</f>
        <v>92</v>
      </c>
      <c r="BT269" s="187">
        <f>BT5-BS5</f>
        <v>92</v>
      </c>
      <c r="BU269" s="215">
        <f>BU5-BP5</f>
        <v>365</v>
      </c>
      <c r="BV269" s="187">
        <f>BV5-BU5</f>
        <v>89</v>
      </c>
      <c r="BW269" s="187">
        <f>BW5-BV5</f>
        <v>92</v>
      </c>
      <c r="BX269" s="187">
        <f>BX5-BW5</f>
        <v>92</v>
      </c>
      <c r="BY269" s="187">
        <f>BY5-BX5</f>
        <v>92</v>
      </c>
      <c r="BZ269" s="215">
        <f>BZ5-BU5</f>
        <v>365</v>
      </c>
      <c r="CA269" s="187">
        <f>CA5-BZ5</f>
        <v>90</v>
      </c>
      <c r="CB269" s="187">
        <f>CB5-CA5</f>
        <v>92</v>
      </c>
      <c r="CC269" s="187">
        <f>CC5-CB5</f>
        <v>92</v>
      </c>
      <c r="CD269" s="187">
        <f>CD5-CC5</f>
        <v>92</v>
      </c>
      <c r="CE269" s="215">
        <f>CE5-BZ5</f>
        <v>366</v>
      </c>
      <c r="CF269" s="187">
        <f>CF5-CE5</f>
        <v>89</v>
      </c>
      <c r="CG269" s="187">
        <f>CG5-CF5</f>
        <v>92</v>
      </c>
      <c r="CH269" s="187">
        <f>CH5-CG5</f>
        <v>92</v>
      </c>
      <c r="CI269" s="187">
        <f>CI5-CH5</f>
        <v>92</v>
      </c>
      <c r="CJ269" s="215">
        <f>CJ5-CE5</f>
        <v>365</v>
      </c>
      <c r="CK269" s="187">
        <f>CK5-CJ5</f>
        <v>89</v>
      </c>
      <c r="CL269" s="187">
        <f>CL5-CK5</f>
        <v>92</v>
      </c>
      <c r="CM269" s="187">
        <f>CM5-CL5</f>
        <v>92</v>
      </c>
      <c r="CN269" s="187">
        <f>CN5-CM5</f>
        <v>92</v>
      </c>
      <c r="CO269" s="215">
        <f>CO5-CJ5</f>
        <v>365</v>
      </c>
      <c r="CP269" s="187">
        <f>CP5-CO5</f>
        <v>89</v>
      </c>
      <c r="CQ269" s="187">
        <f>CQ5-CP5</f>
        <v>92</v>
      </c>
      <c r="CR269" s="187">
        <f>CR5-CQ5</f>
        <v>92</v>
      </c>
      <c r="CS269" s="187">
        <f>CS5-CR5</f>
        <v>92</v>
      </c>
      <c r="CT269" s="215">
        <f>CT5-CO5</f>
        <v>365</v>
      </c>
      <c r="CU269" s="187">
        <f>CU5-CT5</f>
        <v>90</v>
      </c>
      <c r="CV269" s="187">
        <f>CV5-CU5</f>
        <v>92</v>
      </c>
      <c r="CW269" s="187">
        <f>CW5-CV5</f>
        <v>92</v>
      </c>
      <c r="CX269" s="187">
        <f>CX5-CW5</f>
        <v>92</v>
      </c>
      <c r="CY269" s="215">
        <f>CY5-CT5</f>
        <v>366</v>
      </c>
      <c r="CZ269" s="187">
        <f>CZ5-CY5</f>
        <v>89</v>
      </c>
      <c r="DA269" s="187">
        <f>DA5-CZ5</f>
        <v>92</v>
      </c>
      <c r="DB269" s="187">
        <f>DB5-DA5</f>
        <v>92</v>
      </c>
      <c r="DC269" s="187">
        <f>DC5-DB5</f>
        <v>92</v>
      </c>
      <c r="DD269" s="215">
        <f>DD5-CY5</f>
        <v>365</v>
      </c>
      <c r="DE269" s="187">
        <f>DE5-DD5</f>
        <v>89</v>
      </c>
      <c r="DF269" s="187">
        <f>DF5-DE5</f>
        <v>92</v>
      </c>
      <c r="DG269" s="187">
        <f>DG5-DF5</f>
        <v>92</v>
      </c>
      <c r="DH269" s="187">
        <f>DH5-DG5</f>
        <v>92</v>
      </c>
      <c r="DI269" s="215">
        <f>DI5-DD5</f>
        <v>365</v>
      </c>
      <c r="DJ269" s="187">
        <f>DJ5-DI5</f>
        <v>89</v>
      </c>
      <c r="DK269" s="187">
        <f>DK5-DJ5</f>
        <v>92</v>
      </c>
      <c r="DL269" s="187">
        <f>DL5-DK5</f>
        <v>92</v>
      </c>
      <c r="DM269" s="187">
        <f>DM5-DL5</f>
        <v>92</v>
      </c>
      <c r="DN269" s="215">
        <f>DN5-DI5</f>
        <v>365</v>
      </c>
      <c r="DO269" s="187">
        <f>DO5-DN5</f>
        <v>90</v>
      </c>
      <c r="DP269" s="187">
        <f>DP5-DO5</f>
        <v>92</v>
      </c>
      <c r="DQ269" s="187">
        <f>DQ5-DP5</f>
        <v>92</v>
      </c>
      <c r="DR269" s="187">
        <f>DR5-DQ5</f>
        <v>92</v>
      </c>
      <c r="DS269" s="215">
        <f>DS5-DN5</f>
        <v>366</v>
      </c>
    </row>
    <row r="270" spans="1:123">
      <c r="A270" s="132"/>
      <c r="B270" s="633"/>
      <c r="C270" s="131"/>
      <c r="D270" s="132"/>
      <c r="E270" s="132"/>
      <c r="F270" s="132"/>
      <c r="G270" s="132"/>
      <c r="H270" s="131"/>
      <c r="I270" s="132"/>
      <c r="J270" s="132"/>
      <c r="K270" s="132"/>
      <c r="L270" s="132"/>
      <c r="M270" s="131"/>
      <c r="N270" s="190"/>
      <c r="O270" s="190"/>
      <c r="P270" s="190"/>
      <c r="Q270" s="190"/>
      <c r="R270" s="131"/>
      <c r="S270" s="190"/>
      <c r="T270" s="190"/>
      <c r="U270" s="190"/>
      <c r="V270" s="190"/>
      <c r="W270" s="131"/>
      <c r="X270" s="190"/>
      <c r="Y270" s="190"/>
      <c r="Z270" s="190"/>
      <c r="AA270" s="190"/>
      <c r="AB270" s="131"/>
      <c r="AC270" s="190"/>
      <c r="AD270" s="190"/>
      <c r="AE270" s="190"/>
      <c r="AF270" s="190"/>
      <c r="AG270" s="131"/>
      <c r="AH270" s="132"/>
      <c r="AI270" s="132"/>
      <c r="AJ270" s="132"/>
      <c r="AK270" s="132"/>
      <c r="AL270" s="131"/>
      <c r="AM270" s="132"/>
      <c r="AN270" s="132"/>
      <c r="AO270" s="132"/>
      <c r="AP270" s="132"/>
      <c r="AQ270" s="131"/>
      <c r="AR270" s="132"/>
      <c r="AS270" s="132"/>
      <c r="AT270" s="132"/>
      <c r="AU270" s="132"/>
      <c r="AV270" s="131"/>
      <c r="AW270" s="132"/>
      <c r="AX270" s="132"/>
      <c r="AY270" s="132"/>
      <c r="AZ270" s="132"/>
      <c r="BA270" s="131"/>
      <c r="BB270" s="132"/>
      <c r="BC270" s="132"/>
      <c r="BD270" s="132"/>
      <c r="BE270" s="132"/>
      <c r="BF270" s="131"/>
      <c r="BG270" s="132"/>
      <c r="BH270" s="132"/>
      <c r="BI270" s="132"/>
      <c r="BJ270" s="132"/>
      <c r="BK270" s="131"/>
      <c r="BL270" s="132"/>
      <c r="BM270" s="132"/>
      <c r="BN270" s="132"/>
      <c r="BO270" s="132"/>
      <c r="BP270" s="131"/>
      <c r="BQ270" s="132"/>
      <c r="BR270" s="132"/>
      <c r="BS270" s="132"/>
      <c r="BT270" s="132"/>
      <c r="BU270" s="131"/>
      <c r="BV270" s="132"/>
      <c r="BW270" s="132"/>
      <c r="BX270" s="132"/>
      <c r="BY270" s="132"/>
      <c r="BZ270" s="131"/>
      <c r="CA270" s="132"/>
      <c r="CB270" s="132"/>
      <c r="CC270" s="132"/>
      <c r="CD270" s="132"/>
      <c r="CE270" s="131"/>
      <c r="CF270" s="132"/>
      <c r="CG270" s="132"/>
      <c r="CH270" s="132"/>
      <c r="CI270" s="132"/>
      <c r="CJ270" s="131"/>
      <c r="CK270" s="132"/>
      <c r="CL270" s="132"/>
      <c r="CM270" s="132"/>
      <c r="CN270" s="132"/>
      <c r="CO270" s="131"/>
      <c r="CP270" s="132"/>
      <c r="CQ270" s="132"/>
      <c r="CR270" s="132"/>
      <c r="CS270" s="132"/>
      <c r="CT270" s="131"/>
      <c r="CU270" s="132"/>
      <c r="CV270" s="132"/>
      <c r="CW270" s="132"/>
      <c r="CX270" s="132"/>
      <c r="CY270" s="131"/>
      <c r="CZ270" s="132"/>
      <c r="DA270" s="132"/>
      <c r="DB270" s="132"/>
      <c r="DC270" s="132"/>
      <c r="DD270" s="131"/>
      <c r="DE270" s="132"/>
      <c r="DF270" s="132"/>
      <c r="DG270" s="132"/>
      <c r="DH270" s="132"/>
      <c r="DI270" s="131"/>
      <c r="DJ270" s="132"/>
      <c r="DK270" s="132"/>
      <c r="DL270" s="132"/>
      <c r="DM270" s="132"/>
      <c r="DN270" s="131"/>
      <c r="DO270" s="132"/>
      <c r="DP270" s="132"/>
      <c r="DQ270" s="132"/>
      <c r="DR270" s="132"/>
      <c r="DS270" s="131"/>
    </row>
    <row r="271" spans="1:123">
      <c r="A271" s="132"/>
      <c r="B271" s="687" t="s">
        <v>104</v>
      </c>
      <c r="C271" s="131"/>
      <c r="D271" s="132"/>
      <c r="E271" s="132"/>
      <c r="F271" s="132"/>
      <c r="G271" s="132"/>
      <c r="H271" s="131"/>
      <c r="I271" s="132"/>
      <c r="J271" s="132"/>
      <c r="K271" s="132"/>
      <c r="L271" s="132"/>
      <c r="M271" s="131"/>
      <c r="N271" s="190"/>
      <c r="O271" s="190"/>
      <c r="P271" s="190"/>
      <c r="Q271" s="190"/>
      <c r="R271" s="131"/>
      <c r="S271" s="190"/>
      <c r="T271" s="190"/>
      <c r="U271" s="190"/>
      <c r="V271" s="190"/>
      <c r="W271" s="131"/>
      <c r="X271" s="190"/>
      <c r="Y271" s="190"/>
      <c r="Z271" s="190"/>
      <c r="AA271" s="190"/>
      <c r="AB271" s="131"/>
      <c r="AC271" s="190"/>
      <c r="AD271" s="190"/>
      <c r="AE271" s="190"/>
      <c r="AF271" s="190"/>
      <c r="AG271" s="131"/>
      <c r="AH271" s="132"/>
      <c r="AI271" s="132"/>
      <c r="AJ271" s="132"/>
      <c r="AK271" s="132"/>
      <c r="AL271" s="131"/>
      <c r="AM271" s="132"/>
      <c r="AN271" s="132"/>
      <c r="AO271" s="132"/>
      <c r="AP271" s="132"/>
      <c r="AQ271" s="131"/>
      <c r="AR271" s="132"/>
      <c r="AS271" s="132"/>
      <c r="AT271" s="132"/>
      <c r="AU271" s="132"/>
      <c r="AV271" s="131"/>
      <c r="AW271" s="132"/>
      <c r="AX271" s="132"/>
      <c r="AY271" s="132"/>
      <c r="AZ271" s="132"/>
      <c r="BA271" s="131"/>
      <c r="BB271" s="132"/>
      <c r="BC271" s="132"/>
      <c r="BD271" s="132"/>
      <c r="BE271" s="132"/>
      <c r="BF271" s="131"/>
      <c r="BG271" s="132"/>
      <c r="BH271" s="132"/>
      <c r="BI271" s="132"/>
      <c r="BJ271" s="132"/>
      <c r="BK271" s="131"/>
      <c r="BL271" s="132"/>
      <c r="BM271" s="132"/>
      <c r="BN271" s="132"/>
      <c r="BO271" s="132"/>
      <c r="BP271" s="131"/>
      <c r="BQ271" s="132"/>
      <c r="BR271" s="132"/>
      <c r="BS271" s="132"/>
      <c r="BT271" s="132"/>
      <c r="BU271" s="131"/>
      <c r="BV271" s="132"/>
      <c r="BW271" s="132"/>
      <c r="BX271" s="132"/>
      <c r="BY271" s="132"/>
      <c r="BZ271" s="131"/>
      <c r="CA271" s="132"/>
      <c r="CB271" s="132"/>
      <c r="CC271" s="132"/>
      <c r="CD271" s="132"/>
      <c r="CE271" s="131"/>
      <c r="CF271" s="132"/>
      <c r="CG271" s="132"/>
      <c r="CH271" s="132"/>
      <c r="CI271" s="132"/>
      <c r="CJ271" s="131"/>
      <c r="CK271" s="132"/>
      <c r="CL271" s="132"/>
      <c r="CM271" s="132"/>
      <c r="CN271" s="132"/>
      <c r="CO271" s="131"/>
      <c r="CP271" s="132"/>
      <c r="CQ271" s="132"/>
      <c r="CR271" s="132"/>
      <c r="CS271" s="132"/>
      <c r="CT271" s="131"/>
      <c r="CU271" s="132"/>
      <c r="CV271" s="132"/>
      <c r="CW271" s="132"/>
      <c r="CX271" s="132"/>
      <c r="CY271" s="131"/>
      <c r="CZ271" s="132"/>
      <c r="DA271" s="132"/>
      <c r="DB271" s="132"/>
      <c r="DC271" s="132"/>
      <c r="DD271" s="131"/>
      <c r="DE271" s="132"/>
      <c r="DF271" s="132"/>
      <c r="DG271" s="132"/>
      <c r="DH271" s="132"/>
      <c r="DI271" s="131"/>
      <c r="DJ271" s="132"/>
      <c r="DK271" s="132"/>
      <c r="DL271" s="132"/>
      <c r="DM271" s="132"/>
      <c r="DN271" s="131"/>
      <c r="DO271" s="132"/>
      <c r="DP271" s="132"/>
      <c r="DQ271" s="132"/>
      <c r="DR271" s="132"/>
      <c r="DS271" s="131"/>
    </row>
    <row r="272" spans="1:123">
      <c r="A272" s="132"/>
      <c r="B272" s="688" t="s">
        <v>196</v>
      </c>
      <c r="C272" s="131"/>
      <c r="D272" s="132"/>
      <c r="E272" s="132"/>
      <c r="F272" s="132"/>
      <c r="G272" s="132"/>
      <c r="H272" s="131"/>
      <c r="I272" s="132"/>
      <c r="J272" s="132"/>
      <c r="K272" s="132"/>
      <c r="L272" s="132"/>
      <c r="M272" s="124">
        <f>M37</f>
        <v>148.884834</v>
      </c>
      <c r="N272" s="132"/>
      <c r="O272" s="132"/>
      <c r="P272" s="132"/>
      <c r="Q272" s="132"/>
      <c r="R272" s="124">
        <f>R37</f>
        <v>274.713328</v>
      </c>
      <c r="S272" s="132"/>
      <c r="T272" s="132"/>
      <c r="U272" s="132"/>
      <c r="V272" s="132"/>
      <c r="W272" s="124">
        <f>W37</f>
        <v>354.619852</v>
      </c>
      <c r="X272" s="132"/>
      <c r="Y272" s="132"/>
      <c r="Z272" s="132"/>
      <c r="AA272" s="132"/>
      <c r="AB272" s="124">
        <f>AB37</f>
        <v>452.898</v>
      </c>
      <c r="AC272" s="132"/>
      <c r="AD272" s="132"/>
      <c r="AE272" s="132"/>
      <c r="AF272" s="132"/>
      <c r="AG272" s="124">
        <f>AG37</f>
        <v>711.704</v>
      </c>
      <c r="AH272" s="132"/>
      <c r="AI272" s="132"/>
      <c r="AJ272" s="132"/>
      <c r="AK272" s="132"/>
      <c r="AL272" s="124">
        <f t="shared" ref="AL272:CW272" si="597">AL37</f>
        <v>1000.839</v>
      </c>
      <c r="AM272" s="125">
        <f t="shared" si="597"/>
        <v>285.698</v>
      </c>
      <c r="AN272" s="125">
        <f t="shared" si="597"/>
        <v>282.634</v>
      </c>
      <c r="AO272" s="125">
        <f t="shared" si="597"/>
        <v>316.537</v>
      </c>
      <c r="AP272" s="125">
        <f t="shared" si="597"/>
        <v>485.489</v>
      </c>
      <c r="AQ272" s="124">
        <f t="shared" si="597"/>
        <v>1370.358</v>
      </c>
      <c r="AR272" s="125">
        <f t="shared" si="597"/>
        <v>345.782</v>
      </c>
      <c r="AS272" s="125">
        <f t="shared" si="597"/>
        <v>344.513</v>
      </c>
      <c r="AT272" s="125">
        <f t="shared" si="597"/>
        <v>379.9</v>
      </c>
      <c r="AU272" s="125">
        <f t="shared" si="597"/>
        <v>520.993</v>
      </c>
      <c r="AV272" s="124">
        <f t="shared" si="597"/>
        <v>1591.188</v>
      </c>
      <c r="AW272" s="125">
        <f t="shared" si="597"/>
        <v>384.618</v>
      </c>
      <c r="AX272" s="125">
        <f t="shared" si="597"/>
        <v>390.727</v>
      </c>
      <c r="AY272" s="125">
        <f t="shared" si="597"/>
        <v>419.396</v>
      </c>
      <c r="AZ272" s="125">
        <f t="shared" si="597"/>
        <v>602.491</v>
      </c>
      <c r="BA272" s="124">
        <f t="shared" si="597"/>
        <v>1797.213</v>
      </c>
      <c r="BB272" s="125">
        <f t="shared" si="597"/>
        <v>423.544</v>
      </c>
      <c r="BC272" s="125">
        <f t="shared" si="597"/>
        <v>453.01</v>
      </c>
      <c r="BD272" s="125">
        <f t="shared" si="597"/>
        <v>479.693</v>
      </c>
      <c r="BE272" s="125">
        <f t="shared" si="597"/>
        <v>704.276</v>
      </c>
      <c r="BF272" s="124">
        <f t="shared" si="597"/>
        <v>2060.523</v>
      </c>
      <c r="BG272" s="125">
        <f t="shared" si="597"/>
        <v>495.516</v>
      </c>
      <c r="BH272" s="125">
        <f t="shared" si="597"/>
        <v>514.52</v>
      </c>
      <c r="BI272" s="125">
        <f t="shared" si="597"/>
        <v>544.416</v>
      </c>
      <c r="BJ272" s="125">
        <f t="shared" si="597"/>
        <v>789.94</v>
      </c>
      <c r="BK272" s="124">
        <f t="shared" si="597"/>
        <v>2344.392</v>
      </c>
      <c r="BL272" s="125">
        <f t="shared" si="597"/>
        <v>520.307</v>
      </c>
      <c r="BM272" s="125">
        <f t="shared" si="597"/>
        <v>581.054</v>
      </c>
      <c r="BN272" s="125">
        <f t="shared" si="597"/>
        <v>619.034</v>
      </c>
      <c r="BO272" s="125">
        <f t="shared" si="597"/>
        <v>928.802</v>
      </c>
      <c r="BP272" s="124">
        <f t="shared" si="597"/>
        <v>2649.181</v>
      </c>
      <c r="BQ272" s="125">
        <f t="shared" si="597"/>
        <v>649.706</v>
      </c>
      <c r="BR272" s="125">
        <f t="shared" si="597"/>
        <v>723.5</v>
      </c>
      <c r="BS272" s="125">
        <f t="shared" si="597"/>
        <v>747.655</v>
      </c>
      <c r="BT272" s="125">
        <f t="shared" si="597"/>
        <v>1167.458</v>
      </c>
      <c r="BU272" s="124">
        <f t="shared" si="597"/>
        <v>3288.319</v>
      </c>
      <c r="BV272" s="125">
        <f t="shared" si="597"/>
        <v>782.315</v>
      </c>
      <c r="BW272" s="125">
        <f t="shared" si="597"/>
        <v>883.352</v>
      </c>
      <c r="BX272" s="125">
        <f t="shared" si="597"/>
        <v>916.138</v>
      </c>
      <c r="BY272" s="125">
        <f t="shared" si="597"/>
        <v>1397.491</v>
      </c>
      <c r="BZ272" s="124">
        <f t="shared" si="597"/>
        <v>3979.296</v>
      </c>
      <c r="CA272" s="125">
        <f t="shared" si="597"/>
        <v>651.962</v>
      </c>
      <c r="CB272" s="125">
        <f t="shared" si="597"/>
        <v>902.942</v>
      </c>
      <c r="CC272" s="125">
        <f t="shared" si="597"/>
        <v>1117.426</v>
      </c>
      <c r="CD272" s="125">
        <f t="shared" si="597"/>
        <v>1729.55</v>
      </c>
      <c r="CE272" s="124">
        <f t="shared" si="597"/>
        <v>4401.88</v>
      </c>
      <c r="CF272" s="125">
        <f t="shared" si="597"/>
        <v>1226.465</v>
      </c>
      <c r="CG272" s="125">
        <f t="shared" si="597"/>
        <v>1450.618</v>
      </c>
      <c r="CH272" s="125">
        <f t="shared" si="597"/>
        <v>1450.421</v>
      </c>
      <c r="CI272" s="125">
        <f t="shared" si="597"/>
        <v>2129.113</v>
      </c>
      <c r="CJ272" s="124">
        <f t="shared" si="597"/>
        <v>6256.617</v>
      </c>
      <c r="CK272" s="125">
        <f t="shared" si="597"/>
        <v>1613.463</v>
      </c>
      <c r="CL272" s="125">
        <f t="shared" si="597"/>
        <v>1868.328</v>
      </c>
      <c r="CM272" s="125">
        <f t="shared" si="597"/>
        <v>1856.889</v>
      </c>
      <c r="CN272" s="125">
        <f t="shared" si="597"/>
        <v>2771.838</v>
      </c>
      <c r="CO272" s="124">
        <f t="shared" si="597"/>
        <v>8110.518</v>
      </c>
      <c r="CP272" s="125">
        <f t="shared" si="597"/>
        <v>2000.792</v>
      </c>
      <c r="CQ272" s="125">
        <f t="shared" si="597"/>
        <v>2209.165</v>
      </c>
      <c r="CR272" s="125">
        <f t="shared" si="597"/>
        <v>2204.218</v>
      </c>
      <c r="CS272" s="125">
        <f t="shared" si="597"/>
        <v>3205.103</v>
      </c>
      <c r="CT272" s="124">
        <f t="shared" si="597"/>
        <v>9619.278</v>
      </c>
      <c r="CU272" s="125">
        <f t="shared" si="597"/>
        <v>2208.891</v>
      </c>
      <c r="CV272" s="125">
        <f t="shared" si="597"/>
        <v>2371.078</v>
      </c>
      <c r="CW272" s="125">
        <f t="shared" si="597"/>
        <v>2396.66</v>
      </c>
      <c r="CX272" s="125">
        <f t="shared" ref="CX272:DS272" si="598">CX37</f>
        <v>3611.497</v>
      </c>
      <c r="CY272" s="124">
        <f t="shared" si="598"/>
        <v>10588.126</v>
      </c>
      <c r="CZ272" s="125">
        <f t="shared" si="598"/>
        <v>2370.66</v>
      </c>
      <c r="DA272" s="125">
        <f t="shared" si="598"/>
        <v>2525.219</v>
      </c>
      <c r="DB272" s="125">
        <f t="shared" si="598"/>
        <v>2565.92</v>
      </c>
      <c r="DC272" s="125">
        <f t="shared" si="598"/>
        <v>3640.801</v>
      </c>
      <c r="DD272" s="124">
        <f t="shared" si="598"/>
        <v>11102.6</v>
      </c>
      <c r="DE272" s="125">
        <f t="shared" si="598"/>
        <v>2471.603</v>
      </c>
      <c r="DF272" s="125">
        <f t="shared" si="598"/>
        <v>2415.631</v>
      </c>
      <c r="DG272" s="125">
        <f t="shared" si="598"/>
        <v>2315.59134378286</v>
      </c>
      <c r="DH272" s="125">
        <f t="shared" si="598"/>
        <v>3263.77730874327</v>
      </c>
      <c r="DI272" s="124">
        <f t="shared" si="598"/>
        <v>10466.6026525261</v>
      </c>
      <c r="DJ272" s="125">
        <f t="shared" si="598"/>
        <v>2361.05617059684</v>
      </c>
      <c r="DK272" s="125">
        <f t="shared" si="598"/>
        <v>2329.69801228581</v>
      </c>
      <c r="DL272" s="125">
        <f t="shared" si="598"/>
        <v>2305.14863945084</v>
      </c>
      <c r="DM272" s="125">
        <f t="shared" si="598"/>
        <v>3221.02108171078</v>
      </c>
      <c r="DN272" s="124">
        <f t="shared" si="598"/>
        <v>10216.9239040443</v>
      </c>
      <c r="DO272" s="125">
        <f t="shared" si="598"/>
        <v>2391.99814726978</v>
      </c>
      <c r="DP272" s="125">
        <f t="shared" si="598"/>
        <v>2356.23740144272</v>
      </c>
      <c r="DQ272" s="125">
        <f t="shared" si="598"/>
        <v>2341.58494926514</v>
      </c>
      <c r="DR272" s="125">
        <f t="shared" si="598"/>
        <v>3241.16639010697</v>
      </c>
      <c r="DS272" s="124">
        <f t="shared" si="598"/>
        <v>10330.9868880846</v>
      </c>
    </row>
    <row r="273" spans="1:123">
      <c r="A273" s="132"/>
      <c r="B273" s="633" t="s">
        <v>197</v>
      </c>
      <c r="C273" s="131"/>
      <c r="D273" s="132"/>
      <c r="E273" s="132"/>
      <c r="F273" s="132"/>
      <c r="G273" s="132"/>
      <c r="H273" s="131"/>
      <c r="I273" s="132"/>
      <c r="J273" s="132"/>
      <c r="K273" s="132"/>
      <c r="L273" s="132"/>
      <c r="M273" s="60"/>
      <c r="N273" s="132"/>
      <c r="O273" s="132"/>
      <c r="P273" s="132"/>
      <c r="Q273" s="132"/>
      <c r="R273" s="60">
        <f>AVERAGE(R174,M174)</f>
        <v>3.3611105</v>
      </c>
      <c r="S273" s="132"/>
      <c r="T273" s="132"/>
      <c r="U273" s="132"/>
      <c r="V273" s="132"/>
      <c r="W273" s="60">
        <f>AVERAGE(W174,R174)</f>
        <v>4.230278</v>
      </c>
      <c r="X273" s="132"/>
      <c r="Y273" s="132"/>
      <c r="Z273" s="132"/>
      <c r="AA273" s="132"/>
      <c r="AB273" s="60">
        <f>AVERAGE(AB174,W174)</f>
        <v>6.1335</v>
      </c>
      <c r="AC273" s="132"/>
      <c r="AD273" s="132"/>
      <c r="AE273" s="132"/>
      <c r="AF273" s="132"/>
      <c r="AG273" s="60">
        <f>AVERAGE(AG174,AB174)</f>
        <v>8.677</v>
      </c>
      <c r="AH273" s="132"/>
      <c r="AI273" s="132"/>
      <c r="AJ273" s="132"/>
      <c r="AK273" s="132"/>
      <c r="AL273" s="60">
        <f>AVERAGE(AL174,AG174)</f>
        <v>7.159</v>
      </c>
      <c r="AM273" s="88">
        <f>AVERAGE(AM174,AL174)</f>
        <v>5.025</v>
      </c>
      <c r="AN273" s="88">
        <f>AVERAGE(AN174,AM174)</f>
        <v>5.7435</v>
      </c>
      <c r="AO273" s="88">
        <f>AVERAGE(AO174,AN174)</f>
        <v>7.34</v>
      </c>
      <c r="AP273" s="88">
        <f>AVERAGE(AP174,AO174)</f>
        <v>7.196</v>
      </c>
      <c r="AQ273" s="60">
        <f>AVERAGE(AM174:AP174)</f>
        <v>6.46975</v>
      </c>
      <c r="AR273" s="88">
        <f>AVERAGE(AR174,AQ174)</f>
        <v>3.1755</v>
      </c>
      <c r="AS273" s="88"/>
      <c r="AT273" s="88">
        <f>AVERAGE(AT174,AS174)</f>
        <v>6.0525</v>
      </c>
      <c r="AU273" s="88">
        <f>AVERAGE(AU174,AT174)</f>
        <v>12.004</v>
      </c>
      <c r="AV273" s="60">
        <f>AVERAGE(AR174:AU174)</f>
        <v>6.002</v>
      </c>
      <c r="AW273" s="88">
        <f>AVERAGE(AW174,AV174)</f>
        <v>9.876</v>
      </c>
      <c r="AX273" s="88">
        <f>AVERAGE(AX174,AW174)</f>
        <v>8.342</v>
      </c>
      <c r="AY273" s="88">
        <f>AVERAGE(AY174,AX174)</f>
        <v>9.777</v>
      </c>
      <c r="AZ273" s="88">
        <f>AVERAGE(AZ174,AY174)</f>
        <v>12.2325</v>
      </c>
      <c r="BA273" s="60">
        <f>AVERAGE(AW174:AZ174)</f>
        <v>10.28725</v>
      </c>
      <c r="BB273" s="88">
        <f>AVERAGE(BB174,BA174)</f>
        <v>13.5165</v>
      </c>
      <c r="BC273" s="88">
        <f>AVERAGE(BC174,BB174)</f>
        <v>12.748</v>
      </c>
      <c r="BD273" s="88">
        <f>AVERAGE(BD174,BC174)</f>
        <v>12.336</v>
      </c>
      <c r="BE273" s="88">
        <f>AVERAGE(BE174,BD174)</f>
        <v>12.7855</v>
      </c>
      <c r="BF273" s="60">
        <f>AVERAGE(BB174:BE174)</f>
        <v>12.76675</v>
      </c>
      <c r="BG273" s="88">
        <f>AVERAGE(BG174,BF174)</f>
        <v>11.305</v>
      </c>
      <c r="BH273" s="88">
        <f>AVERAGE(BH174,BG174)</f>
        <v>9.849</v>
      </c>
      <c r="BI273" s="88">
        <f>AVERAGE(BI174,BH174)</f>
        <v>11.053</v>
      </c>
      <c r="BJ273" s="88">
        <f>AVERAGE(BJ174,BI174)</f>
        <v>10.555</v>
      </c>
      <c r="BK273" s="60">
        <f>AVERAGE(BG174:BJ174)</f>
        <v>10.202</v>
      </c>
      <c r="BL273" s="88">
        <f>AVERAGE(BL174,BK174)</f>
        <v>9.9535</v>
      </c>
      <c r="BM273" s="88">
        <f>AVERAGE(BM174,BL174)</f>
        <v>13.29</v>
      </c>
      <c r="BN273" s="88">
        <f>AVERAGE(BN174,BM174)</f>
        <v>18.577</v>
      </c>
      <c r="BO273" s="88">
        <f>AVERAGE(BO174,BN174)</f>
        <v>20.227</v>
      </c>
      <c r="BP273" s="60">
        <f>AVERAGE(BL174:BO174)</f>
        <v>16.7585</v>
      </c>
      <c r="BQ273" s="88">
        <f>AVERAGE(BQ174,BP174)</f>
        <v>20.524</v>
      </c>
      <c r="BR273" s="88">
        <f>AVERAGE(BR174,BQ174)</f>
        <v>22.705</v>
      </c>
      <c r="BS273" s="88">
        <f>AVERAGE(BS174,BR174)</f>
        <v>26.4915</v>
      </c>
      <c r="BT273" s="88">
        <f>AVERAGE(BT174,BS174)</f>
        <v>32.617</v>
      </c>
      <c r="BU273" s="60">
        <f>AVERAGE(BQ174:BT174)</f>
        <v>27.661</v>
      </c>
      <c r="BV273" s="88">
        <f>AVERAGE(BV174,BU174)</f>
        <v>27.9455</v>
      </c>
      <c r="BW273" s="88">
        <f>AVERAGE(BW174,BV174)</f>
        <v>23.882</v>
      </c>
      <c r="BX273" s="88">
        <f>AVERAGE(BX174,BW174)</f>
        <v>31.7015</v>
      </c>
      <c r="BY273" s="88">
        <f>AVERAGE(BY174,BX174)</f>
        <v>37.9815</v>
      </c>
      <c r="BZ273" s="60">
        <f>AVERAGE(BV174:BY174)</f>
        <v>30.93175</v>
      </c>
      <c r="CA273" s="88">
        <f>AVERAGE(CA174,BZ174)</f>
        <v>44.4515</v>
      </c>
      <c r="CB273" s="88">
        <f>AVERAGE(CB174,CA174)</f>
        <v>48.803</v>
      </c>
      <c r="CC273" s="88">
        <f>AVERAGE(CC174,CB174)</f>
        <v>54.347</v>
      </c>
      <c r="CD273" s="88">
        <f>AVERAGE(CD174,CC174)</f>
        <v>61.0855</v>
      </c>
      <c r="CE273" s="60">
        <f>AVERAGE(CA174:CD174)</f>
        <v>54.94425</v>
      </c>
      <c r="CF273" s="88">
        <f>AVERAGE(CF174,CE174)</f>
        <v>59.6775</v>
      </c>
      <c r="CG273" s="88">
        <f>AVERAGE(CG174,CF174)</f>
        <v>56.553</v>
      </c>
      <c r="CH273" s="88">
        <f>AVERAGE(CH174,CG174)</f>
        <v>65.7465</v>
      </c>
      <c r="CI273" s="88">
        <f>AVERAGE(CI174,CH174)</f>
        <v>76.172</v>
      </c>
      <c r="CJ273" s="60">
        <f>AVERAGE(CF174:CI174)</f>
        <v>66.3625</v>
      </c>
      <c r="CK273" s="88">
        <f>AVERAGE(CK174,CJ174)</f>
        <v>77.696</v>
      </c>
      <c r="CL273" s="88">
        <f>AVERAGE(CL174,CK174)</f>
        <v>80.0875</v>
      </c>
      <c r="CM273" s="88">
        <f>AVERAGE(CM174,CL174)</f>
        <v>88.9815</v>
      </c>
      <c r="CN273" s="88">
        <f>AVERAGE(CN174,CM174)</f>
        <v>114.5425</v>
      </c>
      <c r="CO273" s="60">
        <f>AVERAGE(CK174:CN174)</f>
        <v>97.315</v>
      </c>
      <c r="CP273" s="88">
        <f>AVERAGE(CP174,CO174)</f>
        <v>120.187</v>
      </c>
      <c r="CQ273" s="88">
        <f>AVERAGE(CQ174,CP174)</f>
        <v>106.8445</v>
      </c>
      <c r="CR273" s="88">
        <f>AVERAGE(CR174,CQ174)</f>
        <v>106.6125</v>
      </c>
      <c r="CS273" s="88">
        <f>AVERAGE(CS174,CR174)</f>
        <v>145.3685</v>
      </c>
      <c r="CT273" s="60">
        <f>AVERAGE(CP174:CS174)</f>
        <v>126.1065</v>
      </c>
      <c r="CU273" s="88">
        <f>AVERAGE(CU174,CT174)</f>
        <v>155.041</v>
      </c>
      <c r="CV273" s="88">
        <f>AVERAGE(CV174,CU174)</f>
        <v>168.659</v>
      </c>
      <c r="CW273" s="88">
        <f>AVERAGE(CW174,CV174)</f>
        <v>177.1935</v>
      </c>
      <c r="CX273" s="88">
        <f>AVERAGE(CX174,CW174)</f>
        <v>131.7955</v>
      </c>
      <c r="CY273" s="60">
        <f>AVERAGE(CU174:CX174)</f>
        <v>150.22725</v>
      </c>
      <c r="CZ273" s="88">
        <f>AVERAGE(CZ174,CY174)</f>
        <v>130.707</v>
      </c>
      <c r="DA273" s="88">
        <f>AVERAGE(DA174,CZ174)</f>
        <v>140.2495</v>
      </c>
      <c r="DB273" s="88">
        <f>AVERAGE(DB174,DA174)</f>
        <v>194.781</v>
      </c>
      <c r="DC273" s="88">
        <f>AVERAGE(DC174,DB174)</f>
        <v>220.4805</v>
      </c>
      <c r="DD273" s="60">
        <f>AVERAGE(CZ174:DC174)</f>
        <v>180.365</v>
      </c>
      <c r="DE273" s="88">
        <f>AVERAGE(DE174,DD174)</f>
        <v>177.815</v>
      </c>
      <c r="DF273" s="88">
        <f>AVERAGE(DF174,DE174)</f>
        <v>168.0685</v>
      </c>
      <c r="DG273" s="88">
        <f>AVERAGE(DG174,DF174)</f>
        <v>208.138240181524</v>
      </c>
      <c r="DH273" s="88">
        <f>AVERAGE(DH174,DG174)</f>
        <v>212.423976654183</v>
      </c>
      <c r="DI273" s="60">
        <f>AVERAGE(DE174:DH174)</f>
        <v>190.246238327091</v>
      </c>
      <c r="DJ273" s="88">
        <f>AVERAGE(DJ174,DI174)</f>
        <v>166.114580765935</v>
      </c>
      <c r="DK273" s="88">
        <f>AVERAGE(DK174,DJ174)</f>
        <v>155.473563033343</v>
      </c>
      <c r="DL273" s="88">
        <f>AVERAGE(DL174,DK174)</f>
        <v>195.183113996232</v>
      </c>
      <c r="DM273" s="88">
        <f>AVERAGE(DM174,DL174)</f>
        <v>203.680354543782</v>
      </c>
      <c r="DN273" s="60">
        <f>AVERAGE(DJ174:DM174)</f>
        <v>179.576958788563</v>
      </c>
      <c r="DO273" s="88">
        <f>AVERAGE(DO174,DN174)</f>
        <v>163.174251125634</v>
      </c>
      <c r="DP273" s="88">
        <f>AVERAGE(DP174,DO174)</f>
        <v>154.710046524815</v>
      </c>
      <c r="DQ273" s="88">
        <f>AVERAGE(DQ174,DP174)</f>
        <v>195.794384067351</v>
      </c>
      <c r="DR273" s="88">
        <f>AVERAGE(DR174,DQ174)</f>
        <v>205.237949644345</v>
      </c>
      <c r="DS273" s="60">
        <f>AVERAGE(DO174:DR174)</f>
        <v>179.97399808458</v>
      </c>
    </row>
    <row r="274" spans="1:123">
      <c r="A274" s="132"/>
      <c r="B274" s="633" t="s">
        <v>198</v>
      </c>
      <c r="C274" s="131"/>
      <c r="D274" s="132"/>
      <c r="E274" s="132"/>
      <c r="F274" s="132"/>
      <c r="G274" s="132"/>
      <c r="H274" s="131"/>
      <c r="I274" s="132"/>
      <c r="J274" s="132"/>
      <c r="K274" s="132"/>
      <c r="L274" s="132"/>
      <c r="M274" s="689"/>
      <c r="N274" s="190"/>
      <c r="O274" s="190"/>
      <c r="P274" s="190"/>
      <c r="Q274" s="190"/>
      <c r="R274" s="689">
        <f>R272/R273</f>
        <v>81.7329058357349</v>
      </c>
      <c r="S274" s="190"/>
      <c r="T274" s="190"/>
      <c r="U274" s="190"/>
      <c r="V274" s="190"/>
      <c r="W274" s="689">
        <f>W272/W273</f>
        <v>83.8289710510751</v>
      </c>
      <c r="X274" s="190"/>
      <c r="Y274" s="190"/>
      <c r="Z274" s="190"/>
      <c r="AA274" s="190"/>
      <c r="AB274" s="689">
        <f>AB272/AB273</f>
        <v>73.8400586940572</v>
      </c>
      <c r="AC274" s="190"/>
      <c r="AD274" s="190"/>
      <c r="AE274" s="190"/>
      <c r="AF274" s="190"/>
      <c r="AG274" s="689">
        <f>AG272/AG273</f>
        <v>82.0218969689985</v>
      </c>
      <c r="AH274" s="132"/>
      <c r="AI274" s="132"/>
      <c r="AJ274" s="132"/>
      <c r="AK274" s="132"/>
      <c r="AL274" s="689">
        <f t="shared" ref="AL274:AR274" si="599">AL272/AL273</f>
        <v>139.801508590585</v>
      </c>
      <c r="AM274" s="690">
        <f t="shared" si="599"/>
        <v>56.8553233830846</v>
      </c>
      <c r="AN274" s="690">
        <f t="shared" si="599"/>
        <v>49.2093671106468</v>
      </c>
      <c r="AO274" s="690">
        <f t="shared" si="599"/>
        <v>43.124931880109</v>
      </c>
      <c r="AP274" s="690">
        <f t="shared" si="599"/>
        <v>67.4665091717621</v>
      </c>
      <c r="AQ274" s="689">
        <f t="shared" si="599"/>
        <v>211.810039027783</v>
      </c>
      <c r="AR274" s="690">
        <f t="shared" si="599"/>
        <v>108.890568414423</v>
      </c>
      <c r="AS274" s="690"/>
      <c r="AT274" s="690">
        <f t="shared" ref="AT274:CP274" si="600">AT272/AT273</f>
        <v>62.7674514663362</v>
      </c>
      <c r="AU274" s="690">
        <f t="shared" si="600"/>
        <v>43.4016161279573</v>
      </c>
      <c r="AV274" s="689">
        <f t="shared" si="600"/>
        <v>265.109630123292</v>
      </c>
      <c r="AW274" s="690">
        <f t="shared" si="600"/>
        <v>38.9447144592953</v>
      </c>
      <c r="AX274" s="690">
        <f t="shared" si="600"/>
        <v>46.8385279309518</v>
      </c>
      <c r="AY274" s="690">
        <f t="shared" si="600"/>
        <v>42.8961849238007</v>
      </c>
      <c r="AZ274" s="690">
        <f t="shared" si="600"/>
        <v>49.2533006335581</v>
      </c>
      <c r="BA274" s="689">
        <f t="shared" si="600"/>
        <v>174.702957544533</v>
      </c>
      <c r="BB274" s="690">
        <f t="shared" si="600"/>
        <v>31.3353308918729</v>
      </c>
      <c r="BC274" s="690">
        <f t="shared" si="600"/>
        <v>35.5357703169125</v>
      </c>
      <c r="BD274" s="690">
        <f t="shared" si="600"/>
        <v>38.8856193255512</v>
      </c>
      <c r="BE274" s="690">
        <f t="shared" si="600"/>
        <v>55.0839623010442</v>
      </c>
      <c r="BF274" s="689">
        <f t="shared" si="600"/>
        <v>161.397614898075</v>
      </c>
      <c r="BG274" s="690">
        <f t="shared" si="600"/>
        <v>43.8315789473684</v>
      </c>
      <c r="BH274" s="690">
        <f t="shared" si="600"/>
        <v>52.2408366331607</v>
      </c>
      <c r="BI274" s="690">
        <f t="shared" si="600"/>
        <v>49.2550438794897</v>
      </c>
      <c r="BJ274" s="690">
        <f t="shared" si="600"/>
        <v>74.8403600189483</v>
      </c>
      <c r="BK274" s="689">
        <f t="shared" si="600"/>
        <v>229.797294648108</v>
      </c>
      <c r="BL274" s="690">
        <f t="shared" si="600"/>
        <v>52.2737730446577</v>
      </c>
      <c r="BM274" s="690">
        <f t="shared" si="600"/>
        <v>43.7211437170805</v>
      </c>
      <c r="BN274" s="690">
        <f t="shared" si="600"/>
        <v>33.3226032190343</v>
      </c>
      <c r="BO274" s="690">
        <f t="shared" si="600"/>
        <v>45.9189202551046</v>
      </c>
      <c r="BP274" s="689">
        <f t="shared" si="600"/>
        <v>158.079840081153</v>
      </c>
      <c r="BQ274" s="690">
        <f t="shared" si="600"/>
        <v>31.6559150263107</v>
      </c>
      <c r="BR274" s="690">
        <f t="shared" si="600"/>
        <v>31.8652279233649</v>
      </c>
      <c r="BS274" s="690">
        <f t="shared" si="600"/>
        <v>28.2224487099636</v>
      </c>
      <c r="BT274" s="690">
        <f t="shared" si="600"/>
        <v>35.7929300671429</v>
      </c>
      <c r="BU274" s="689">
        <f t="shared" si="600"/>
        <v>118.879252376993</v>
      </c>
      <c r="BV274" s="690">
        <f t="shared" si="600"/>
        <v>27.9943103540821</v>
      </c>
      <c r="BW274" s="690">
        <f t="shared" si="600"/>
        <v>36.9881919437233</v>
      </c>
      <c r="BX274" s="690">
        <f t="shared" si="600"/>
        <v>28.8988849108086</v>
      </c>
      <c r="BY274" s="690">
        <f t="shared" si="600"/>
        <v>36.7939918118031</v>
      </c>
      <c r="BZ274" s="689">
        <f t="shared" si="600"/>
        <v>128.647619355517</v>
      </c>
      <c r="CA274" s="690">
        <f t="shared" si="600"/>
        <v>14.6668166428579</v>
      </c>
      <c r="CB274" s="690">
        <f t="shared" si="600"/>
        <v>18.5017724320226</v>
      </c>
      <c r="CC274" s="690">
        <f t="shared" si="600"/>
        <v>20.5609509264541</v>
      </c>
      <c r="CD274" s="690">
        <f t="shared" si="600"/>
        <v>28.3135932422588</v>
      </c>
      <c r="CE274" s="689">
        <f t="shared" si="600"/>
        <v>80.115389690459</v>
      </c>
      <c r="CF274" s="690">
        <f t="shared" si="600"/>
        <v>20.5515479033136</v>
      </c>
      <c r="CG274" s="690">
        <f t="shared" si="600"/>
        <v>25.6505932488108</v>
      </c>
      <c r="CH274" s="690">
        <f t="shared" si="600"/>
        <v>22.0608093206483</v>
      </c>
      <c r="CI274" s="690">
        <f t="shared" si="600"/>
        <v>27.9513863361865</v>
      </c>
      <c r="CJ274" s="689">
        <f t="shared" si="600"/>
        <v>94.2794047843285</v>
      </c>
      <c r="CK274" s="690">
        <f t="shared" si="600"/>
        <v>20.7663586285008</v>
      </c>
      <c r="CL274" s="690">
        <f t="shared" si="600"/>
        <v>23.3285843608553</v>
      </c>
      <c r="CM274" s="690">
        <f t="shared" si="600"/>
        <v>20.8682591325163</v>
      </c>
      <c r="CN274" s="690">
        <f t="shared" si="600"/>
        <v>24.1992099002554</v>
      </c>
      <c r="CO274" s="689">
        <f t="shared" si="600"/>
        <v>83.3429378821353</v>
      </c>
      <c r="CP274" s="690">
        <f t="shared" si="600"/>
        <v>16.6473245858537</v>
      </c>
      <c r="CQ274" s="690">
        <f t="shared" ref="CQ274:DI274" si="601">CQ272/CQ273</f>
        <v>20.6764503554231</v>
      </c>
      <c r="CR274" s="690">
        <f t="shared" si="601"/>
        <v>20.6750427951694</v>
      </c>
      <c r="CS274" s="690">
        <f t="shared" si="601"/>
        <v>22.0481259695188</v>
      </c>
      <c r="CT274" s="689">
        <f t="shared" si="601"/>
        <v>76.2790022718892</v>
      </c>
      <c r="CU274" s="690">
        <f t="shared" si="601"/>
        <v>14.2471410788114</v>
      </c>
      <c r="CV274" s="690">
        <f t="shared" si="601"/>
        <v>14.0584137223629</v>
      </c>
      <c r="CW274" s="690">
        <f t="shared" si="601"/>
        <v>13.5256654448386</v>
      </c>
      <c r="CX274" s="690">
        <f t="shared" si="601"/>
        <v>27.4022785299953</v>
      </c>
      <c r="CY274" s="689">
        <f t="shared" si="601"/>
        <v>70.4807283631964</v>
      </c>
      <c r="CZ274" s="690">
        <f t="shared" si="601"/>
        <v>18.1372076476394</v>
      </c>
      <c r="DA274" s="690">
        <f t="shared" si="601"/>
        <v>18.0051907493431</v>
      </c>
      <c r="DB274" s="690">
        <f t="shared" si="601"/>
        <v>13.1733587978294</v>
      </c>
      <c r="DC274" s="690">
        <f t="shared" si="601"/>
        <v>16.5130294969396</v>
      </c>
      <c r="DD274" s="689">
        <f t="shared" si="601"/>
        <v>61.5562886369307</v>
      </c>
      <c r="DE274" s="690">
        <f t="shared" si="601"/>
        <v>13.8998565925259</v>
      </c>
      <c r="DF274" s="690">
        <f t="shared" si="601"/>
        <v>14.372895575316</v>
      </c>
      <c r="DG274" s="690">
        <f t="shared" si="601"/>
        <v>11.1252566648174</v>
      </c>
      <c r="DH274" s="690">
        <f t="shared" si="601"/>
        <v>15.3644487790404</v>
      </c>
      <c r="DI274" s="689">
        <f t="shared" si="601"/>
        <v>55.0160820238183</v>
      </c>
      <c r="DJ274" s="690">
        <f t="shared" ref="DJ274:DN274" si="602">DJ272/DJ273</f>
        <v>14.2134191936089</v>
      </c>
      <c r="DK274" s="690">
        <f t="shared" si="602"/>
        <v>14.9845283457367</v>
      </c>
      <c r="DL274" s="690">
        <f t="shared" si="602"/>
        <v>11.8101847657546</v>
      </c>
      <c r="DM274" s="690">
        <f t="shared" si="602"/>
        <v>15.8140979719201</v>
      </c>
      <c r="DN274" s="689">
        <f t="shared" si="602"/>
        <v>56.8944032295027</v>
      </c>
      <c r="DO274" s="690">
        <f t="shared" ref="DO274:DS274" si="603">DO272/DO273</f>
        <v>14.6591642417167</v>
      </c>
      <c r="DP274" s="690">
        <f t="shared" si="603"/>
        <v>15.2300219305072</v>
      </c>
      <c r="DQ274" s="690">
        <f t="shared" si="603"/>
        <v>11.9594081332775</v>
      </c>
      <c r="DR274" s="690">
        <f t="shared" si="603"/>
        <v>15.7922372335309</v>
      </c>
      <c r="DS274" s="689">
        <f t="shared" si="603"/>
        <v>57.4026637071733</v>
      </c>
    </row>
    <row r="275" spans="1:123">
      <c r="A275" s="132"/>
      <c r="B275" s="633" t="s">
        <v>199</v>
      </c>
      <c r="C275" s="131"/>
      <c r="D275" s="132"/>
      <c r="E275" s="132"/>
      <c r="F275" s="132"/>
      <c r="G275" s="132"/>
      <c r="H275" s="131"/>
      <c r="I275" s="132"/>
      <c r="J275" s="132"/>
      <c r="K275" s="132"/>
      <c r="L275" s="132"/>
      <c r="M275" s="691"/>
      <c r="N275" s="190"/>
      <c r="O275" s="190"/>
      <c r="P275" s="190"/>
      <c r="Q275" s="190"/>
      <c r="R275" s="691">
        <f>+R269/R274</f>
        <v>4.46576560894053</v>
      </c>
      <c r="S275" s="190"/>
      <c r="T275" s="190"/>
      <c r="U275" s="190"/>
      <c r="V275" s="190"/>
      <c r="W275" s="691">
        <f>+W269/W274</f>
        <v>4.36603235624835</v>
      </c>
      <c r="X275" s="190"/>
      <c r="Y275" s="190"/>
      <c r="Z275" s="190"/>
      <c r="AA275" s="190"/>
      <c r="AB275" s="691">
        <f>+AB269/AB274</f>
        <v>4.94311633082946</v>
      </c>
      <c r="AC275" s="190"/>
      <c r="AD275" s="190"/>
      <c r="AE275" s="190"/>
      <c r="AF275" s="190"/>
      <c r="AG275" s="691">
        <f>+AG269/AG274</f>
        <v>4.45003119274305</v>
      </c>
      <c r="AH275" s="132"/>
      <c r="AI275" s="132"/>
      <c r="AJ275" s="132"/>
      <c r="AK275" s="132"/>
      <c r="AL275" s="691">
        <f t="shared" ref="AL275:AR275" si="604">+AL269/AL274</f>
        <v>2.61084450146327</v>
      </c>
      <c r="AM275" s="692">
        <f t="shared" si="604"/>
        <v>1.58296522901805</v>
      </c>
      <c r="AN275" s="692">
        <f t="shared" si="604"/>
        <v>1.86956275607323</v>
      </c>
      <c r="AO275" s="692">
        <f t="shared" si="604"/>
        <v>2.13333670313423</v>
      </c>
      <c r="AP275" s="692">
        <f t="shared" si="604"/>
        <v>1.36363954693103</v>
      </c>
      <c r="AQ275" s="691">
        <f t="shared" si="604"/>
        <v>1.72796342269684</v>
      </c>
      <c r="AR275" s="692">
        <f t="shared" si="604"/>
        <v>0.817334332035791</v>
      </c>
      <c r="AS275" s="692"/>
      <c r="AT275" s="692">
        <f t="shared" ref="AT275:CP275" si="605">+AT269/AT274</f>
        <v>1.46572782311135</v>
      </c>
      <c r="AU275" s="692">
        <f t="shared" si="605"/>
        <v>2.11973673350698</v>
      </c>
      <c r="AV275" s="691">
        <f t="shared" si="605"/>
        <v>1.37678891494908</v>
      </c>
      <c r="AW275" s="692">
        <f t="shared" si="605"/>
        <v>2.28529086002215</v>
      </c>
      <c r="AX275" s="692">
        <f t="shared" si="605"/>
        <v>1.96419494941481</v>
      </c>
      <c r="AY275" s="692">
        <f t="shared" si="605"/>
        <v>2.14471287279802</v>
      </c>
      <c r="AZ275" s="692">
        <f t="shared" si="605"/>
        <v>1.86789512208481</v>
      </c>
      <c r="BA275" s="691">
        <f t="shared" si="605"/>
        <v>2.08926056622114</v>
      </c>
      <c r="BB275" s="692">
        <f t="shared" si="605"/>
        <v>2.84024446102412</v>
      </c>
      <c r="BC275" s="692">
        <f t="shared" si="605"/>
        <v>2.58894064148694</v>
      </c>
      <c r="BD275" s="692">
        <f t="shared" si="605"/>
        <v>2.36591319864997</v>
      </c>
      <c r="BE275" s="692">
        <f t="shared" si="605"/>
        <v>1.67017760082695</v>
      </c>
      <c r="BF275" s="691">
        <f t="shared" si="605"/>
        <v>2.26149562513983</v>
      </c>
      <c r="BG275" s="692">
        <f t="shared" si="605"/>
        <v>2.05331412103746</v>
      </c>
      <c r="BH275" s="692">
        <f t="shared" si="605"/>
        <v>1.76107439944026</v>
      </c>
      <c r="BI275" s="692">
        <f t="shared" si="605"/>
        <v>1.86782901310762</v>
      </c>
      <c r="BJ275" s="692">
        <f t="shared" si="605"/>
        <v>1.22928323670152</v>
      </c>
      <c r="BK275" s="691">
        <f t="shared" si="605"/>
        <v>1.5927080454122</v>
      </c>
      <c r="BL275" s="692">
        <f t="shared" si="605"/>
        <v>1.70257463382196</v>
      </c>
      <c r="BM275" s="692">
        <f t="shared" si="605"/>
        <v>2.10424504435044</v>
      </c>
      <c r="BN275" s="692">
        <f t="shared" si="605"/>
        <v>2.76088873955227</v>
      </c>
      <c r="BO275" s="692">
        <f t="shared" si="605"/>
        <v>2.00353143081087</v>
      </c>
      <c r="BP275" s="691">
        <f t="shared" si="605"/>
        <v>2.30895982569707</v>
      </c>
      <c r="BQ275" s="692">
        <f t="shared" si="605"/>
        <v>2.81148088520038</v>
      </c>
      <c r="BR275" s="692">
        <f t="shared" si="605"/>
        <v>2.8871596406358</v>
      </c>
      <c r="BS275" s="692">
        <f t="shared" si="605"/>
        <v>3.25981635914961</v>
      </c>
      <c r="BT275" s="692">
        <f t="shared" si="605"/>
        <v>2.57034000366608</v>
      </c>
      <c r="BU275" s="691">
        <f t="shared" si="605"/>
        <v>3.07034232384388</v>
      </c>
      <c r="BV275" s="692">
        <f t="shared" si="605"/>
        <v>3.17921745077111</v>
      </c>
      <c r="BW275" s="692">
        <f t="shared" si="605"/>
        <v>2.48728026879432</v>
      </c>
      <c r="BX275" s="692">
        <f t="shared" si="605"/>
        <v>3.18351383743497</v>
      </c>
      <c r="BY275" s="692">
        <f t="shared" si="605"/>
        <v>2.50040823160936</v>
      </c>
      <c r="BZ275" s="691">
        <f t="shared" si="605"/>
        <v>2.83720757390252</v>
      </c>
      <c r="CA275" s="692">
        <f t="shared" si="605"/>
        <v>6.1363008887021</v>
      </c>
      <c r="CB275" s="692">
        <f t="shared" si="605"/>
        <v>4.97249657231583</v>
      </c>
      <c r="CC275" s="692">
        <f t="shared" si="605"/>
        <v>4.47450121976757</v>
      </c>
      <c r="CD275" s="692">
        <f t="shared" si="605"/>
        <v>3.24932265618224</v>
      </c>
      <c r="CE275" s="691">
        <f t="shared" si="605"/>
        <v>4.56841065635592</v>
      </c>
      <c r="CF275" s="692">
        <f t="shared" si="605"/>
        <v>4.33057404817912</v>
      </c>
      <c r="CG275" s="692">
        <f t="shared" si="605"/>
        <v>3.58666168488189</v>
      </c>
      <c r="CH275" s="692">
        <f t="shared" si="605"/>
        <v>4.17029124647258</v>
      </c>
      <c r="CI275" s="692">
        <f t="shared" si="605"/>
        <v>3.29142887202323</v>
      </c>
      <c r="CJ275" s="691">
        <f t="shared" si="605"/>
        <v>3.87147119601535</v>
      </c>
      <c r="CK275" s="692">
        <f t="shared" si="605"/>
        <v>4.28577785793662</v>
      </c>
      <c r="CL275" s="692">
        <f t="shared" si="605"/>
        <v>3.94365978564792</v>
      </c>
      <c r="CM275" s="692">
        <f t="shared" si="605"/>
        <v>4.40860923835512</v>
      </c>
      <c r="CN275" s="692">
        <f t="shared" si="605"/>
        <v>3.80177701582849</v>
      </c>
      <c r="CO275" s="691">
        <f t="shared" si="605"/>
        <v>4.37949524309052</v>
      </c>
      <c r="CP275" s="692">
        <f t="shared" si="605"/>
        <v>5.34620440305639</v>
      </c>
      <c r="CQ275" s="692">
        <f t="shared" ref="CQ275:DI275" si="606">+CQ269/CQ274</f>
        <v>4.44950648774537</v>
      </c>
      <c r="CR275" s="692">
        <f t="shared" si="606"/>
        <v>4.4498094108659</v>
      </c>
      <c r="CS275" s="692">
        <f t="shared" si="606"/>
        <v>4.17269023803603</v>
      </c>
      <c r="CT275" s="691">
        <f t="shared" si="606"/>
        <v>4.78506520967582</v>
      </c>
      <c r="CU275" s="692">
        <f t="shared" si="606"/>
        <v>6.31705683983501</v>
      </c>
      <c r="CV275" s="692">
        <f t="shared" si="606"/>
        <v>6.54412381203824</v>
      </c>
      <c r="CW275" s="692">
        <f t="shared" si="606"/>
        <v>6.80188345447414</v>
      </c>
      <c r="CX275" s="692">
        <f t="shared" si="606"/>
        <v>3.35738504005403</v>
      </c>
      <c r="CY275" s="691">
        <f t="shared" si="606"/>
        <v>5.19290887735941</v>
      </c>
      <c r="CZ275" s="692">
        <f t="shared" si="606"/>
        <v>4.90703981169801</v>
      </c>
      <c r="DA275" s="692">
        <f t="shared" si="606"/>
        <v>5.10963761954904</v>
      </c>
      <c r="DB275" s="692">
        <f t="shared" si="606"/>
        <v>6.98379216811124</v>
      </c>
      <c r="DC275" s="692">
        <f t="shared" si="606"/>
        <v>5.57135806104206</v>
      </c>
      <c r="DD275" s="691">
        <f t="shared" si="606"/>
        <v>5.92953227172014</v>
      </c>
      <c r="DE275" s="692">
        <f t="shared" si="606"/>
        <v>6.4029437575533</v>
      </c>
      <c r="DF275" s="692">
        <f t="shared" si="606"/>
        <v>6.40093706364921</v>
      </c>
      <c r="DG275" s="692">
        <f t="shared" si="606"/>
        <v>8.2694721363995</v>
      </c>
      <c r="DH275" s="692">
        <f t="shared" si="606"/>
        <v>5.98784904835002</v>
      </c>
      <c r="DI275" s="691">
        <f t="shared" si="606"/>
        <v>6.63442372799247</v>
      </c>
      <c r="DJ275" s="692">
        <f t="shared" ref="DJ275:DN275" si="607">+DJ269/DJ274</f>
        <v>6.26168825302917</v>
      </c>
      <c r="DK275" s="692">
        <f t="shared" si="607"/>
        <v>6.13966605269731</v>
      </c>
      <c r="DL275" s="692">
        <f t="shared" si="607"/>
        <v>7.78988659574301</v>
      </c>
      <c r="DM275" s="692">
        <f t="shared" si="607"/>
        <v>5.81759390661153</v>
      </c>
      <c r="DN275" s="691">
        <f t="shared" si="607"/>
        <v>6.41539376953564</v>
      </c>
      <c r="DO275" s="692">
        <f t="shared" ref="DO275:DS275" si="608">+DO269/DO274</f>
        <v>6.13950417063208</v>
      </c>
      <c r="DP275" s="692">
        <f t="shared" si="608"/>
        <v>6.04070042838975</v>
      </c>
      <c r="DQ275" s="692">
        <f t="shared" si="608"/>
        <v>7.69268838179427</v>
      </c>
      <c r="DR275" s="692">
        <f t="shared" si="608"/>
        <v>5.82564703401623</v>
      </c>
      <c r="DS275" s="691">
        <f t="shared" si="608"/>
        <v>6.37601073474684</v>
      </c>
    </row>
    <row r="276" spans="1:123">
      <c r="A276" s="132"/>
      <c r="B276" s="38" t="s">
        <v>200</v>
      </c>
      <c r="C276" s="180"/>
      <c r="D276" s="181"/>
      <c r="E276" s="181"/>
      <c r="F276" s="181"/>
      <c r="G276" s="181"/>
      <c r="H276" s="530"/>
      <c r="I276" s="87"/>
      <c r="J276" s="87"/>
      <c r="K276" s="87"/>
      <c r="L276" s="87"/>
      <c r="M276" s="530"/>
      <c r="N276" s="87"/>
      <c r="O276" s="87"/>
      <c r="P276" s="87"/>
      <c r="Q276" s="87"/>
      <c r="R276" s="530">
        <f>R174/M174-1</f>
        <v>0.934615493753997</v>
      </c>
      <c r="S276" s="87"/>
      <c r="T276" s="87"/>
      <c r="U276" s="87"/>
      <c r="V276" s="87"/>
      <c r="W276" s="530">
        <f>W174/R174-1</f>
        <v>-0.0908385226317798</v>
      </c>
      <c r="X276" s="87"/>
      <c r="Y276" s="87"/>
      <c r="Z276" s="87"/>
      <c r="AA276" s="87"/>
      <c r="AB276" s="530">
        <f>AB174/W174-1</f>
        <v>1.04467609828742</v>
      </c>
      <c r="AC276" s="87"/>
      <c r="AD276" s="87"/>
      <c r="AE276" s="87"/>
      <c r="AF276" s="87"/>
      <c r="AG276" s="530">
        <f>AG174/AB174-1</f>
        <v>0.106579266812333</v>
      </c>
      <c r="AH276" s="87"/>
      <c r="AI276" s="87"/>
      <c r="AJ276" s="87"/>
      <c r="AK276" s="87"/>
      <c r="AL276" s="530">
        <f t="shared" ref="AL276:CW276" si="609">AL174/AG174-1</f>
        <v>-0.429354980254498</v>
      </c>
      <c r="AM276" s="87">
        <f t="shared" si="609"/>
        <v>-0.600954811095563</v>
      </c>
      <c r="AN276" s="87">
        <f t="shared" si="609"/>
        <v>-0.316975308641975</v>
      </c>
      <c r="AO276" s="87">
        <f t="shared" si="609"/>
        <v>-0.256426854078047</v>
      </c>
      <c r="AP276" s="87">
        <f t="shared" si="609"/>
        <v>0.220876585928489</v>
      </c>
      <c r="AQ276" s="530">
        <f t="shared" si="609"/>
        <v>0.220876585928489</v>
      </c>
      <c r="AR276" s="87">
        <f t="shared" si="609"/>
        <v>-1</v>
      </c>
      <c r="AS276" s="87">
        <f t="shared" si="609"/>
        <v>-1</v>
      </c>
      <c r="AT276" s="87">
        <f t="shared" si="609"/>
        <v>0.505409774903619</v>
      </c>
      <c r="AU276" s="87">
        <f t="shared" si="609"/>
        <v>0.874193040466068</v>
      </c>
      <c r="AV276" s="530">
        <f t="shared" si="609"/>
        <v>0.874193040466068</v>
      </c>
      <c r="AW276" s="87" t="e">
        <f t="shared" si="609"/>
        <v>#DIV/0!</v>
      </c>
      <c r="AX276" s="87" t="e">
        <f t="shared" si="609"/>
        <v>#DIV/0!</v>
      </c>
      <c r="AY276" s="87">
        <f t="shared" si="609"/>
        <v>-0.114498141263941</v>
      </c>
      <c r="AZ276" s="87">
        <f t="shared" si="609"/>
        <v>0.154834915567504</v>
      </c>
      <c r="BA276" s="530">
        <f t="shared" si="609"/>
        <v>0.154834915567504</v>
      </c>
      <c r="BB276" s="87">
        <f t="shared" si="609"/>
        <v>0.692827111733979</v>
      </c>
      <c r="BC276" s="87">
        <f t="shared" si="609"/>
        <v>0.381890209394454</v>
      </c>
      <c r="BD276" s="87">
        <f t="shared" si="609"/>
        <v>0.162701744565724</v>
      </c>
      <c r="BE276" s="87">
        <f t="shared" si="609"/>
        <v>-0.0464135021097046</v>
      </c>
      <c r="BF276" s="530">
        <f t="shared" si="609"/>
        <v>-0.0464135021097046</v>
      </c>
      <c r="BG276" s="87">
        <f t="shared" si="609"/>
        <v>-0.284864905546775</v>
      </c>
      <c r="BH276" s="87">
        <f t="shared" si="609"/>
        <v>-0.164878368416742</v>
      </c>
      <c r="BI276" s="87">
        <f t="shared" si="609"/>
        <v>-0.0443713391639251</v>
      </c>
      <c r="BJ276" s="87">
        <f t="shared" si="609"/>
        <v>-0.298138541348795</v>
      </c>
      <c r="BK276" s="530">
        <f t="shared" si="609"/>
        <v>-0.298138541348795</v>
      </c>
      <c r="BL276" s="87">
        <f t="shared" si="609"/>
        <v>0.126815407282677</v>
      </c>
      <c r="BM276" s="87">
        <f t="shared" si="609"/>
        <v>0.556786975284425</v>
      </c>
      <c r="BN276" s="87">
        <f t="shared" si="609"/>
        <v>0.786817800167926</v>
      </c>
      <c r="BO276" s="87">
        <f t="shared" si="609"/>
        <v>1.08402173913043</v>
      </c>
      <c r="BP276" s="530">
        <f t="shared" si="609"/>
        <v>1.08402173913043</v>
      </c>
      <c r="BQ276" s="87">
        <f t="shared" si="609"/>
        <v>1.04305594470907</v>
      </c>
      <c r="BR276" s="87">
        <f t="shared" si="609"/>
        <v>0.482706482706483</v>
      </c>
      <c r="BS276" s="87">
        <f t="shared" si="609"/>
        <v>0.383769559701142</v>
      </c>
      <c r="BT276" s="87">
        <f t="shared" si="609"/>
        <v>0.866478902623481</v>
      </c>
      <c r="BU276" s="530">
        <f t="shared" si="609"/>
        <v>0.866478902623481</v>
      </c>
      <c r="BV276" s="87">
        <f t="shared" si="609"/>
        <v>-0.0809142857142857</v>
      </c>
      <c r="BW276" s="87">
        <f t="shared" si="609"/>
        <v>0.175228383258976</v>
      </c>
      <c r="BX276" s="87">
        <f t="shared" si="609"/>
        <v>0.213800597663678</v>
      </c>
      <c r="BY276" s="87">
        <f t="shared" si="609"/>
        <v>0.12387525848097</v>
      </c>
      <c r="BZ276" s="530">
        <f t="shared" si="609"/>
        <v>0.12387525848097</v>
      </c>
      <c r="CA276" s="87">
        <f t="shared" si="609"/>
        <v>1.42148719224074</v>
      </c>
      <c r="CB276" s="87">
        <f t="shared" si="609"/>
        <v>0.768755197223327</v>
      </c>
      <c r="CC276" s="87">
        <f t="shared" si="609"/>
        <v>0.672224709042077</v>
      </c>
      <c r="CD276" s="87">
        <f t="shared" si="609"/>
        <v>0.551480643476964</v>
      </c>
      <c r="CE276" s="530">
        <f t="shared" si="609"/>
        <v>0.551480643476964</v>
      </c>
      <c r="CF276" s="87">
        <f t="shared" si="609"/>
        <v>0.169912086106318</v>
      </c>
      <c r="CG276" s="87">
        <f t="shared" si="609"/>
        <v>0.147745390621806</v>
      </c>
      <c r="CH276" s="87">
        <f t="shared" si="609"/>
        <v>0.260506591715185</v>
      </c>
      <c r="CI276" s="87">
        <f t="shared" si="609"/>
        <v>0.234010160419238</v>
      </c>
      <c r="CJ276" s="530">
        <f t="shared" si="609"/>
        <v>0.234010160419238</v>
      </c>
      <c r="CK276" s="87">
        <f t="shared" si="609"/>
        <v>0.376343142074584</v>
      </c>
      <c r="CL276" s="87">
        <f t="shared" si="609"/>
        <v>0.456527159394479</v>
      </c>
      <c r="CM276" s="87">
        <f t="shared" si="609"/>
        <v>0.276548584473674</v>
      </c>
      <c r="CN276" s="87">
        <f t="shared" si="609"/>
        <v>0.726029532083999</v>
      </c>
      <c r="CO276" s="530">
        <f t="shared" si="609"/>
        <v>0.726029532083999</v>
      </c>
      <c r="CP276" s="87">
        <f t="shared" si="609"/>
        <v>0.370922682450791</v>
      </c>
      <c r="CQ276" s="87">
        <f t="shared" si="609"/>
        <v>0.298799276142033</v>
      </c>
      <c r="CR276" s="87">
        <f t="shared" si="609"/>
        <v>0.112550556774348</v>
      </c>
      <c r="CS276" s="87">
        <f t="shared" si="609"/>
        <v>0.38242818232435</v>
      </c>
      <c r="CT276" s="530">
        <f t="shared" si="609"/>
        <v>0.38242818232435</v>
      </c>
      <c r="CU276" s="87">
        <f t="shared" si="609"/>
        <v>0.175689507574348</v>
      </c>
      <c r="CV276" s="87">
        <f t="shared" si="609"/>
        <v>0.986132685627136</v>
      </c>
      <c r="CW276" s="87">
        <f t="shared" si="609"/>
        <v>0.340305035325782</v>
      </c>
      <c r="CX276" s="87">
        <f t="shared" ref="CX276:DS276" si="610">CX174/CS174-1</f>
        <v>-0.345936766938982</v>
      </c>
      <c r="CY276" s="530">
        <f t="shared" si="610"/>
        <v>-0.345936766938982</v>
      </c>
      <c r="CZ276" s="87">
        <f t="shared" si="610"/>
        <v>0.117864011586954</v>
      </c>
      <c r="DA276" s="87">
        <f t="shared" si="610"/>
        <v>-0.339912498992743</v>
      </c>
      <c r="DB276" s="87">
        <f t="shared" si="610"/>
        <v>0.745276046242452</v>
      </c>
      <c r="DC276" s="87">
        <f t="shared" si="610"/>
        <v>0.586521098749303</v>
      </c>
      <c r="DD276" s="530">
        <f t="shared" si="610"/>
        <v>0.586521098749303</v>
      </c>
      <c r="DE276" s="87">
        <f t="shared" si="610"/>
        <v>0.168024865301152</v>
      </c>
      <c r="DF276" s="87">
        <f t="shared" si="610"/>
        <v>0.22911430582085</v>
      </c>
      <c r="DG276" s="87">
        <f t="shared" si="610"/>
        <v>-0.020740857664885</v>
      </c>
      <c r="DH276" s="87">
        <f t="shared" si="610"/>
        <v>-0.0572836405413026</v>
      </c>
      <c r="DI276" s="530">
        <f t="shared" si="610"/>
        <v>-0.0572836405413026</v>
      </c>
      <c r="DJ276" s="87">
        <f t="shared" si="610"/>
        <v>-0.0756445685866542</v>
      </c>
      <c r="DK276" s="87">
        <f t="shared" si="610"/>
        <v>-0.0742595552795386</v>
      </c>
      <c r="DL276" s="87">
        <f t="shared" si="610"/>
        <v>-0.0538515616633077</v>
      </c>
      <c r="DM276" s="87">
        <f t="shared" si="610"/>
        <v>-0.0238548033942602</v>
      </c>
      <c r="DN276" s="530">
        <f t="shared" si="610"/>
        <v>-0.0238548033942602</v>
      </c>
      <c r="DO276" s="87">
        <f t="shared" si="610"/>
        <v>-0.0104470219409379</v>
      </c>
      <c r="DP276" s="87">
        <f t="shared" si="610"/>
        <v>0.000416979868106848</v>
      </c>
      <c r="DQ276" s="87">
        <f t="shared" si="610"/>
        <v>0.0049866514314314</v>
      </c>
      <c r="DR276" s="87">
        <f t="shared" si="610"/>
        <v>0.011164121912975</v>
      </c>
      <c r="DS276" s="530">
        <f t="shared" si="610"/>
        <v>0.011164121912975</v>
      </c>
    </row>
    <row r="277" spans="1:123">
      <c r="A277" s="132"/>
      <c r="B277" s="633"/>
      <c r="C277" s="131"/>
      <c r="D277" s="132"/>
      <c r="E277" s="132"/>
      <c r="F277" s="132"/>
      <c r="G277" s="132"/>
      <c r="H277" s="131"/>
      <c r="I277" s="132"/>
      <c r="J277" s="132"/>
      <c r="K277" s="132"/>
      <c r="L277" s="132"/>
      <c r="M277" s="131"/>
      <c r="N277" s="190"/>
      <c r="O277" s="190"/>
      <c r="P277" s="190"/>
      <c r="Q277" s="190"/>
      <c r="R277" s="131"/>
      <c r="S277" s="190"/>
      <c r="T277" s="190"/>
      <c r="U277" s="190"/>
      <c r="V277" s="190"/>
      <c r="W277" s="131"/>
      <c r="X277" s="190"/>
      <c r="Y277" s="190"/>
      <c r="Z277" s="190"/>
      <c r="AA277" s="190"/>
      <c r="AB277" s="131"/>
      <c r="AC277" s="190"/>
      <c r="AD277" s="190"/>
      <c r="AE277" s="190"/>
      <c r="AF277" s="190"/>
      <c r="AG277" s="131"/>
      <c r="AH277" s="132"/>
      <c r="AI277" s="132"/>
      <c r="AJ277" s="132"/>
      <c r="AK277" s="132"/>
      <c r="AL277" s="131"/>
      <c r="AM277" s="132"/>
      <c r="AN277" s="132"/>
      <c r="AO277" s="132"/>
      <c r="AP277" s="132"/>
      <c r="AQ277" s="131"/>
      <c r="AR277" s="132"/>
      <c r="AS277" s="132"/>
      <c r="AT277" s="132"/>
      <c r="AU277" s="132"/>
      <c r="AV277" s="131"/>
      <c r="AW277" s="132"/>
      <c r="AX277" s="132"/>
      <c r="AY277" s="132"/>
      <c r="AZ277" s="132"/>
      <c r="BA277" s="131"/>
      <c r="BB277" s="132"/>
      <c r="BC277" s="132"/>
      <c r="BD277" s="132"/>
      <c r="BE277" s="132"/>
      <c r="BF277" s="131"/>
      <c r="BG277" s="132"/>
      <c r="BH277" s="132"/>
      <c r="BI277" s="132"/>
      <c r="BJ277" s="132"/>
      <c r="BK277" s="131"/>
      <c r="BL277" s="132"/>
      <c r="BM277" s="132"/>
      <c r="BN277" s="132"/>
      <c r="BO277" s="132"/>
      <c r="BP277" s="131"/>
      <c r="BQ277" s="190"/>
      <c r="BR277" s="190"/>
      <c r="BS277" s="190"/>
      <c r="BT277" s="190"/>
      <c r="BU277" s="131"/>
      <c r="BV277" s="190"/>
      <c r="BW277" s="190"/>
      <c r="BX277" s="190"/>
      <c r="BY277" s="190"/>
      <c r="BZ277" s="131"/>
      <c r="CA277" s="190"/>
      <c r="CB277" s="190"/>
      <c r="CC277" s="190"/>
      <c r="CD277" s="190"/>
      <c r="CE277" s="131"/>
      <c r="CF277" s="190"/>
      <c r="CG277" s="190"/>
      <c r="CH277" s="190"/>
      <c r="CI277" s="190"/>
      <c r="CJ277" s="131"/>
      <c r="CK277" s="190"/>
      <c r="CL277" s="190"/>
      <c r="CM277" s="190"/>
      <c r="CN277" s="190"/>
      <c r="CO277" s="131"/>
      <c r="CP277" s="190"/>
      <c r="CQ277" s="190"/>
      <c r="CR277" s="190"/>
      <c r="CS277" s="190"/>
      <c r="CT277" s="131"/>
      <c r="CU277" s="190"/>
      <c r="CV277" s="190"/>
      <c r="CW277" s="190"/>
      <c r="CX277" s="190"/>
      <c r="CY277" s="131"/>
      <c r="CZ277" s="190"/>
      <c r="DA277" s="190"/>
      <c r="DB277" s="190"/>
      <c r="DC277" s="190"/>
      <c r="DD277" s="131"/>
      <c r="DE277" s="190"/>
      <c r="DF277" s="190"/>
      <c r="DG277" s="190"/>
      <c r="DH277" s="190"/>
      <c r="DI277" s="131"/>
      <c r="DJ277" s="190"/>
      <c r="DK277" s="190"/>
      <c r="DL277" s="190"/>
      <c r="DM277" s="190"/>
      <c r="DN277" s="131"/>
      <c r="DO277" s="190"/>
      <c r="DP277" s="190"/>
      <c r="DQ277" s="190"/>
      <c r="DR277" s="190"/>
      <c r="DS277" s="131"/>
    </row>
    <row r="278" spans="1:123">
      <c r="A278" s="132"/>
      <c r="B278" s="687" t="s">
        <v>201</v>
      </c>
      <c r="C278" s="131"/>
      <c r="D278" s="132"/>
      <c r="E278" s="132"/>
      <c r="F278" s="132"/>
      <c r="G278" s="132"/>
      <c r="H278" s="131"/>
      <c r="I278" s="132"/>
      <c r="J278" s="132"/>
      <c r="K278" s="132"/>
      <c r="L278" s="132"/>
      <c r="M278" s="131"/>
      <c r="N278" s="190"/>
      <c r="O278" s="190"/>
      <c r="P278" s="190"/>
      <c r="Q278" s="190"/>
      <c r="R278" s="131"/>
      <c r="S278" s="190"/>
      <c r="T278" s="190"/>
      <c r="U278" s="190"/>
      <c r="V278" s="190"/>
      <c r="W278" s="131"/>
      <c r="X278" s="190"/>
      <c r="Y278" s="190"/>
      <c r="Z278" s="190"/>
      <c r="AA278" s="190"/>
      <c r="AB278" s="131"/>
      <c r="AC278" s="190"/>
      <c r="AD278" s="190"/>
      <c r="AE278" s="190"/>
      <c r="AF278" s="190"/>
      <c r="AG278" s="131"/>
      <c r="AH278" s="132"/>
      <c r="AI278" s="132"/>
      <c r="AJ278" s="132"/>
      <c r="AK278" s="132"/>
      <c r="AL278" s="131"/>
      <c r="AM278" s="132"/>
      <c r="AN278" s="132"/>
      <c r="AO278" s="132"/>
      <c r="AP278" s="132"/>
      <c r="AQ278" s="131"/>
      <c r="AR278" s="132"/>
      <c r="AS278" s="132"/>
      <c r="AT278" s="132"/>
      <c r="AU278" s="132"/>
      <c r="AV278" s="131"/>
      <c r="AW278" s="132"/>
      <c r="AX278" s="132"/>
      <c r="AY278" s="132"/>
      <c r="AZ278" s="132"/>
      <c r="BA278" s="131"/>
      <c r="BB278" s="132"/>
      <c r="BC278" s="132"/>
      <c r="BD278" s="132"/>
      <c r="BE278" s="132"/>
      <c r="BF278" s="131"/>
      <c r="BG278" s="132"/>
      <c r="BH278" s="132"/>
      <c r="BI278" s="132"/>
      <c r="BJ278" s="132"/>
      <c r="BK278" s="131"/>
      <c r="BL278" s="132"/>
      <c r="BM278" s="132"/>
      <c r="BN278" s="132"/>
      <c r="BO278" s="132"/>
      <c r="BP278" s="131"/>
      <c r="BQ278" s="190"/>
      <c r="BR278" s="190"/>
      <c r="BS278" s="190"/>
      <c r="BT278" s="190"/>
      <c r="BU278" s="131"/>
      <c r="BV278" s="190"/>
      <c r="BW278" s="190"/>
      <c r="BX278" s="190"/>
      <c r="BY278" s="190"/>
      <c r="BZ278" s="131"/>
      <c r="CA278" s="190"/>
      <c r="CB278" s="190"/>
      <c r="CC278" s="190"/>
      <c r="CD278" s="190"/>
      <c r="CE278" s="131"/>
      <c r="CF278" s="190"/>
      <c r="CG278" s="190"/>
      <c r="CH278" s="190"/>
      <c r="CI278" s="190"/>
      <c r="CJ278" s="131"/>
      <c r="CK278" s="190"/>
      <c r="CL278" s="190"/>
      <c r="CM278" s="190"/>
      <c r="CN278" s="190"/>
      <c r="CO278" s="131"/>
      <c r="CP278" s="190"/>
      <c r="CQ278" s="190"/>
      <c r="CR278" s="190"/>
      <c r="CS278" s="190"/>
      <c r="CT278" s="131"/>
      <c r="CU278" s="190"/>
      <c r="CV278" s="190"/>
      <c r="CW278" s="190"/>
      <c r="CX278" s="190"/>
      <c r="CY278" s="131"/>
      <c r="CZ278" s="190"/>
      <c r="DA278" s="190"/>
      <c r="DB278" s="190"/>
      <c r="DC278" s="190"/>
      <c r="DD278" s="131"/>
      <c r="DE278" s="190"/>
      <c r="DF278" s="190"/>
      <c r="DG278" s="190"/>
      <c r="DH278" s="190"/>
      <c r="DI278" s="131"/>
      <c r="DJ278" s="190"/>
      <c r="DK278" s="190"/>
      <c r="DL278" s="190"/>
      <c r="DM278" s="190"/>
      <c r="DN278" s="131"/>
      <c r="DO278" s="190"/>
      <c r="DP278" s="190"/>
      <c r="DQ278" s="190"/>
      <c r="DR278" s="190"/>
      <c r="DS278" s="131"/>
    </row>
    <row r="279" spans="1:123">
      <c r="A279" s="132"/>
      <c r="B279" s="633" t="s">
        <v>202</v>
      </c>
      <c r="C279" s="131"/>
      <c r="D279" s="132"/>
      <c r="E279" s="132"/>
      <c r="F279" s="132"/>
      <c r="G279" s="132"/>
      <c r="H279" s="131"/>
      <c r="I279" s="132"/>
      <c r="J279" s="132"/>
      <c r="K279" s="132"/>
      <c r="L279" s="132"/>
      <c r="M279" s="60"/>
      <c r="N279" s="132"/>
      <c r="O279" s="132"/>
      <c r="P279" s="132"/>
      <c r="Q279" s="132"/>
      <c r="R279" s="60">
        <f>AVERAGE(R175,M175)</f>
        <v>32.8601605</v>
      </c>
      <c r="S279" s="132"/>
      <c r="T279" s="132"/>
      <c r="U279" s="132"/>
      <c r="V279" s="132"/>
      <c r="W279" s="60">
        <f>AVERAGE(W175,R175)</f>
        <v>45.571604</v>
      </c>
      <c r="X279" s="132"/>
      <c r="Y279" s="132"/>
      <c r="Z279" s="132"/>
      <c r="AA279" s="132"/>
      <c r="AB279" s="60">
        <f>AVERAGE(AB175,W175)</f>
        <v>48.0605</v>
      </c>
      <c r="AC279" s="132"/>
      <c r="AD279" s="132"/>
      <c r="AE279" s="132"/>
      <c r="AF279" s="132"/>
      <c r="AG279" s="60">
        <f>AVERAGE(AG175,AB175)</f>
        <v>50.7695</v>
      </c>
      <c r="AH279" s="132"/>
      <c r="AI279" s="132"/>
      <c r="AJ279" s="132"/>
      <c r="AK279" s="132"/>
      <c r="AL279" s="60">
        <f>AVERAGE(AL175,AG175)</f>
        <v>80.783</v>
      </c>
      <c r="AM279" s="88">
        <f>AVERAGE(AM175,AL175)</f>
        <v>105.888</v>
      </c>
      <c r="AN279" s="88">
        <f>AVERAGE(AN175,AM175)</f>
        <v>116.5285</v>
      </c>
      <c r="AO279" s="88">
        <f>AVERAGE(AO175,AN175)</f>
        <v>145.052</v>
      </c>
      <c r="AP279" s="88">
        <f>AVERAGE(AP175,AO175)</f>
        <v>159.974</v>
      </c>
      <c r="AQ279" s="60">
        <f>AVERAGE(AM175:AP175)</f>
        <v>138.25125</v>
      </c>
      <c r="AR279" s="88">
        <f>AVERAGE(AR175,AQ175)</f>
        <v>149.467</v>
      </c>
      <c r="AS279" s="88">
        <f>AVERAGE(AS175,AR175)</f>
        <v>153.358</v>
      </c>
      <c r="AT279" s="88">
        <f>AVERAGE(AT175,AS175)</f>
        <v>184.579</v>
      </c>
      <c r="AU279" s="88">
        <f>AVERAGE(AU175,AT175)</f>
        <v>196.122</v>
      </c>
      <c r="AV279" s="60">
        <f>AVERAGE(AR175:AU175)</f>
        <v>174.74</v>
      </c>
      <c r="AW279" s="88">
        <f>AVERAGE(AW175,AV175)</f>
        <v>181.7325</v>
      </c>
      <c r="AX279" s="88">
        <f>AVERAGE(AX175,AW175)</f>
        <v>176.9385</v>
      </c>
      <c r="AY279" s="88">
        <f>AVERAGE(AY175,AX175)</f>
        <v>203.1815</v>
      </c>
      <c r="AZ279" s="88">
        <f>AVERAGE(AZ175,AY175)</f>
        <v>218.9885</v>
      </c>
      <c r="BA279" s="60">
        <f>AVERAGE(AW175:AZ175)</f>
        <v>197.9635</v>
      </c>
      <c r="BB279" s="88">
        <f>AVERAGE(BB175,BA175)</f>
        <v>222.3075</v>
      </c>
      <c r="BC279" s="88">
        <f>AVERAGE(BC175,BB175)</f>
        <v>258.553</v>
      </c>
      <c r="BD279" s="88">
        <f>AVERAGE(BD175,BC175)</f>
        <v>319.18</v>
      </c>
      <c r="BE279" s="88">
        <f>AVERAGE(BE175,BD175)</f>
        <v>320.881</v>
      </c>
      <c r="BF279" s="60">
        <f>AVERAGE(BB175:BE175)</f>
        <v>289.717</v>
      </c>
      <c r="BG279" s="88">
        <f>AVERAGE(BG175,BF175)</f>
        <v>285.1195</v>
      </c>
      <c r="BH279" s="88">
        <f>AVERAGE(BH175,BG175)</f>
        <v>281.7545</v>
      </c>
      <c r="BI279" s="88">
        <f>AVERAGE(BI175,BH175)</f>
        <v>320.8965</v>
      </c>
      <c r="BJ279" s="88">
        <f>AVERAGE(BJ175,BI175)</f>
        <v>331.473</v>
      </c>
      <c r="BK279" s="60">
        <f>AVERAGE(BG175:BJ175)</f>
        <v>306.61375</v>
      </c>
      <c r="BL279" s="88">
        <f>AVERAGE(BL175,BK175)</f>
        <v>301.191</v>
      </c>
      <c r="BM279" s="88">
        <f>AVERAGE(BM175,BL175)</f>
        <v>310.159</v>
      </c>
      <c r="BN279" s="88">
        <f>AVERAGE(BN175,BM175)</f>
        <v>356.63</v>
      </c>
      <c r="BO279" s="88">
        <f>AVERAGE(BO175,BN175)</f>
        <v>363.227</v>
      </c>
      <c r="BP279" s="60">
        <f>AVERAGE(BL175:BO175)</f>
        <v>336.693</v>
      </c>
      <c r="BQ279" s="88">
        <f>AVERAGE(BQ175,BP175)</f>
        <v>351.5035</v>
      </c>
      <c r="BR279" s="88">
        <f>AVERAGE(BR175,BQ175)</f>
        <v>383.0585</v>
      </c>
      <c r="BS279" s="88">
        <f>AVERAGE(BS175,BR175)</f>
        <v>444.3315</v>
      </c>
      <c r="BT279" s="88">
        <f>AVERAGE(BT175,BS175)</f>
        <v>450.4165</v>
      </c>
      <c r="BU279" s="60">
        <f>AVERAGE(BQ175:BT175)</f>
        <v>416.7375</v>
      </c>
      <c r="BV279" s="88">
        <f>AVERAGE(BV175,BU175)</f>
        <v>423.924</v>
      </c>
      <c r="BW279" s="88">
        <f>AVERAGE(BW175,BV175)</f>
        <v>468.65</v>
      </c>
      <c r="BX279" s="88">
        <f>AVERAGE(BX175,BW175)</f>
        <v>560.698</v>
      </c>
      <c r="BY279" s="88">
        <f>AVERAGE(BY175,BX175)</f>
        <v>572.8075</v>
      </c>
      <c r="BZ279" s="60">
        <f>AVERAGE(BV175:BY175)</f>
        <v>520.72875</v>
      </c>
      <c r="CA279" s="88">
        <f>AVERAGE(CA175,BZ175)</f>
        <v>572.181</v>
      </c>
      <c r="CB279" s="88">
        <f>AVERAGE(CB175,CA175)</f>
        <v>649.311</v>
      </c>
      <c r="CC279" s="88">
        <f>AVERAGE(CC175,CB175)</f>
        <v>721.8815</v>
      </c>
      <c r="CD279" s="88">
        <f>AVERAGE(CD175,CC175)</f>
        <v>709.11</v>
      </c>
      <c r="CE279" s="60">
        <f>AVERAGE(CA175:CD175)</f>
        <v>679.2105</v>
      </c>
      <c r="CF279" s="88">
        <f>AVERAGE(CF175,CE175)</f>
        <v>690.06</v>
      </c>
      <c r="CG279" s="88">
        <f>AVERAGE(CG175,CF175)</f>
        <v>761.363</v>
      </c>
      <c r="CH279" s="88">
        <f>AVERAGE(CH175,CG175)</f>
        <v>866.868</v>
      </c>
      <c r="CI279" s="88">
        <f>AVERAGE(CI175,CH175)</f>
        <v>955.1905</v>
      </c>
      <c r="CJ279" s="60">
        <f>AVERAGE(CF175:CI175)</f>
        <v>858.27675</v>
      </c>
      <c r="CK279" s="88">
        <f>AVERAGE(CK175,CJ175)</f>
        <v>1120.7605</v>
      </c>
      <c r="CL279" s="88">
        <f>AVERAGE(CL175,CK175)</f>
        <v>1368.558</v>
      </c>
      <c r="CM279" s="88">
        <f>AVERAGE(CM175,CL175)</f>
        <v>1601.896</v>
      </c>
      <c r="CN279" s="88">
        <f>AVERAGE(CN175,CM175)</f>
        <v>1594.5415</v>
      </c>
      <c r="CO279" s="60">
        <f>AVERAGE(CK175:CN175)</f>
        <v>1481.54975</v>
      </c>
      <c r="CP279" s="88">
        <f>AVERAGE(CP175,CO175)</f>
        <v>1513.84</v>
      </c>
      <c r="CQ279" s="88">
        <f>AVERAGE(CQ175,CP175)</f>
        <v>1620.533</v>
      </c>
      <c r="CR279" s="88">
        <f>AVERAGE(CR175,CQ175)</f>
        <v>1662.185</v>
      </c>
      <c r="CS279" s="88">
        <f>AVERAGE(CS175,CR175)</f>
        <v>1493.6095</v>
      </c>
      <c r="CT279" s="60">
        <f>AVERAGE(CP175:CS175)</f>
        <v>1557.07125</v>
      </c>
      <c r="CU279" s="88">
        <f>AVERAGE(CU175,CT175)</f>
        <v>1334.4345</v>
      </c>
      <c r="CV279" s="88">
        <f>AVERAGE(CV175,CU175)</f>
        <v>1387.155</v>
      </c>
      <c r="CW279" s="88">
        <f>AVERAGE(CW175,CV175)</f>
        <v>1614.968</v>
      </c>
      <c r="CX279" s="88">
        <f>AVERAGE(CX175,CW175)</f>
        <v>1621.487</v>
      </c>
      <c r="CY279" s="60">
        <f>AVERAGE(CU175:CX175)</f>
        <v>1504.321</v>
      </c>
      <c r="CZ279" s="88">
        <f>AVERAGE(CZ175,CY175)</f>
        <v>1547.086</v>
      </c>
      <c r="DA279" s="88">
        <f>AVERAGE(DA175,CZ175)</f>
        <v>1687.3305</v>
      </c>
      <c r="DB279" s="88">
        <f>AVERAGE(DB175,DA175)</f>
        <v>1860.207</v>
      </c>
      <c r="DC279" s="88">
        <f>AVERAGE(DC175,DB175)</f>
        <v>1849.2985</v>
      </c>
      <c r="DD279" s="60">
        <f>AVERAGE(CZ175:DC175)</f>
        <v>1768.3145</v>
      </c>
      <c r="DE279" s="88">
        <f>AVERAGE(DE175,DD175)</f>
        <v>1693.9205</v>
      </c>
      <c r="DF279" s="88">
        <f>AVERAGE(DF175,DE175)</f>
        <v>1699.269</v>
      </c>
      <c r="DG279" s="88">
        <f>AVERAGE(DG175,DF175)</f>
        <v>1876.34161722377</v>
      </c>
      <c r="DH279" s="88">
        <f>AVERAGE(DH175,DG175)</f>
        <v>1910.24453277975</v>
      </c>
      <c r="DI279" s="60">
        <f>AVERAGE(DE175:DH175)</f>
        <v>1804.75676638987</v>
      </c>
      <c r="DJ279" s="88">
        <f>AVERAGE(DJ175,DI175)</f>
        <v>1715.24577099173</v>
      </c>
      <c r="DK279" s="88">
        <f>AVERAGE(DK175,DJ175)</f>
        <v>1694.00641785138</v>
      </c>
      <c r="DL279" s="88">
        <f>AVERAGE(DL175,DK175)</f>
        <v>1905.63029379298</v>
      </c>
      <c r="DM279" s="88">
        <f>AVERAGE(DM175,DL175)</f>
        <v>1929.46646547151</v>
      </c>
      <c r="DN279" s="60">
        <f>AVERAGE(DJ175:DM175)</f>
        <v>1811.73644166145</v>
      </c>
      <c r="DO279" s="88">
        <f>AVERAGE(DO175,DN175)</f>
        <v>1733.63989276347</v>
      </c>
      <c r="DP279" s="88">
        <f>AVERAGE(DP175,DO175)</f>
        <v>1712.55073051232</v>
      </c>
      <c r="DQ279" s="88">
        <f>AVERAGE(DQ175,DP175)</f>
        <v>1916.30599968509</v>
      </c>
      <c r="DR279" s="88">
        <f>AVERAGE(DR175,DQ175)</f>
        <v>1949.37288509396</v>
      </c>
      <c r="DS279" s="60">
        <f>AVERAGE(DO175:DR175)</f>
        <v>1830.96180780314</v>
      </c>
    </row>
    <row r="280" spans="1:123">
      <c r="A280" s="132"/>
      <c r="B280" s="633" t="s">
        <v>203</v>
      </c>
      <c r="C280" s="131"/>
      <c r="D280" s="132"/>
      <c r="E280" s="132"/>
      <c r="F280" s="132"/>
      <c r="G280" s="132"/>
      <c r="H280" s="131"/>
      <c r="I280" s="132"/>
      <c r="J280" s="132"/>
      <c r="K280" s="132"/>
      <c r="L280" s="132"/>
      <c r="M280" s="689"/>
      <c r="N280" s="190"/>
      <c r="O280" s="190"/>
      <c r="P280" s="190"/>
      <c r="Q280" s="190"/>
      <c r="R280" s="689">
        <f>-R40/R279</f>
        <v>3.90780729753283</v>
      </c>
      <c r="S280" s="190"/>
      <c r="T280" s="190"/>
      <c r="U280" s="190"/>
      <c r="V280" s="190"/>
      <c r="W280" s="689">
        <f>-W40/W279</f>
        <v>3.84378524398658</v>
      </c>
      <c r="X280" s="190"/>
      <c r="Y280" s="190"/>
      <c r="Z280" s="190"/>
      <c r="AA280" s="190"/>
      <c r="AB280" s="689">
        <f>-AB40/AB279</f>
        <v>4.7832835696674</v>
      </c>
      <c r="AC280" s="190"/>
      <c r="AD280" s="190"/>
      <c r="AE280" s="190"/>
      <c r="AF280" s="190"/>
      <c r="AG280" s="689">
        <f>-AG40/AG279</f>
        <v>6.2391199440609</v>
      </c>
      <c r="AH280" s="132"/>
      <c r="AI280" s="132"/>
      <c r="AJ280" s="132"/>
      <c r="AK280" s="132"/>
      <c r="AL280" s="689">
        <f t="shared" ref="AL280:CW280" si="611">-AL40/AL279</f>
        <v>5.3416436626518</v>
      </c>
      <c r="AM280" s="690">
        <f t="shared" si="611"/>
        <v>1.21292308854639</v>
      </c>
      <c r="AN280" s="690">
        <f t="shared" si="611"/>
        <v>1.08882376414354</v>
      </c>
      <c r="AO280" s="690">
        <f t="shared" si="611"/>
        <v>0.973699087223892</v>
      </c>
      <c r="AP280" s="690">
        <f t="shared" si="611"/>
        <v>1.31885181341968</v>
      </c>
      <c r="AQ280" s="689">
        <f t="shared" si="611"/>
        <v>4.39440511387781</v>
      </c>
      <c r="AR280" s="690">
        <f t="shared" si="611"/>
        <v>1.17120836037386</v>
      </c>
      <c r="AS280" s="690">
        <f t="shared" si="611"/>
        <v>1.0339075887792</v>
      </c>
      <c r="AT280" s="690">
        <f t="shared" si="611"/>
        <v>0.949696335986217</v>
      </c>
      <c r="AU280" s="690">
        <f t="shared" si="611"/>
        <v>1.23496089168987</v>
      </c>
      <c r="AV280" s="689">
        <f t="shared" si="611"/>
        <v>4.29845484720156</v>
      </c>
      <c r="AW280" s="690">
        <f t="shared" si="611"/>
        <v>1.0392967686022</v>
      </c>
      <c r="AX280" s="690">
        <f t="shared" si="611"/>
        <v>1.09304080231267</v>
      </c>
      <c r="AY280" s="690">
        <f t="shared" si="611"/>
        <v>1.02523113570871</v>
      </c>
      <c r="AZ280" s="690">
        <f t="shared" si="611"/>
        <v>1.33545825465721</v>
      </c>
      <c r="BA280" s="689">
        <f t="shared" si="611"/>
        <v>4.46058490580334</v>
      </c>
      <c r="BB280" s="690">
        <f t="shared" si="611"/>
        <v>0.979125760489412</v>
      </c>
      <c r="BC280" s="690">
        <f t="shared" si="611"/>
        <v>0.932052615904669</v>
      </c>
      <c r="BD280" s="690">
        <f t="shared" si="611"/>
        <v>0.798596403283414</v>
      </c>
      <c r="BE280" s="690">
        <f t="shared" si="611"/>
        <v>1.09015180082336</v>
      </c>
      <c r="BF280" s="689">
        <f t="shared" si="611"/>
        <v>3.67033001170107</v>
      </c>
      <c r="BG280" s="690">
        <f t="shared" si="611"/>
        <v>0.899219450090225</v>
      </c>
      <c r="BH280" s="690">
        <f t="shared" si="611"/>
        <v>0.924063324631905</v>
      </c>
      <c r="BI280" s="690">
        <f t="shared" si="611"/>
        <v>0.828896544524481</v>
      </c>
      <c r="BJ280" s="690">
        <f t="shared" si="611"/>
        <v>1.09221867241072</v>
      </c>
      <c r="BK280" s="689">
        <f t="shared" si="611"/>
        <v>3.73360620650574</v>
      </c>
      <c r="BL280" s="690">
        <f t="shared" si="611"/>
        <v>0.856576059709619</v>
      </c>
      <c r="BM280" s="690">
        <f t="shared" si="611"/>
        <v>0.90723790056068</v>
      </c>
      <c r="BN280" s="690">
        <f t="shared" si="611"/>
        <v>0.829649777079887</v>
      </c>
      <c r="BO280" s="690">
        <f t="shared" si="611"/>
        <v>1.11895316152158</v>
      </c>
      <c r="BP280" s="689">
        <f t="shared" si="611"/>
        <v>3.68790856952773</v>
      </c>
      <c r="BQ280" s="690">
        <f t="shared" si="611"/>
        <v>0.867624362204075</v>
      </c>
      <c r="BR280" s="690">
        <f t="shared" si="611"/>
        <v>0.854454345746146</v>
      </c>
      <c r="BS280" s="690">
        <f t="shared" si="611"/>
        <v>0.767170457192434</v>
      </c>
      <c r="BT280" s="690">
        <f t="shared" si="611"/>
        <v>1.10758597875522</v>
      </c>
      <c r="BU280" s="689">
        <f t="shared" si="611"/>
        <v>3.53227631302679</v>
      </c>
      <c r="BV280" s="690">
        <f t="shared" si="611"/>
        <v>0.850612373916079</v>
      </c>
      <c r="BW280" s="690">
        <f t="shared" si="611"/>
        <v>0.848300437426651</v>
      </c>
      <c r="BX280" s="690">
        <f t="shared" si="611"/>
        <v>0.733182568869516</v>
      </c>
      <c r="BY280" s="690">
        <f t="shared" si="611"/>
        <v>1.02419224608616</v>
      </c>
      <c r="BZ280" s="689">
        <f t="shared" si="611"/>
        <v>3.37202430247994</v>
      </c>
      <c r="CA280" s="690">
        <f t="shared" si="611"/>
        <v>0.554999204797083</v>
      </c>
      <c r="CB280" s="690">
        <f t="shared" si="611"/>
        <v>0.636738019223454</v>
      </c>
      <c r="CC280" s="690">
        <f t="shared" si="611"/>
        <v>0.678881506175183</v>
      </c>
      <c r="CD280" s="690">
        <f t="shared" si="611"/>
        <v>1.0108671433205</v>
      </c>
      <c r="CE280" s="689">
        <f t="shared" si="611"/>
        <v>2.85314935502322</v>
      </c>
      <c r="CF280" s="690">
        <f t="shared" si="611"/>
        <v>0.762471379300351</v>
      </c>
      <c r="CG280" s="690">
        <f t="shared" si="611"/>
        <v>0.798478518131299</v>
      </c>
      <c r="CH280" s="690">
        <f t="shared" si="611"/>
        <v>0.71640434299109</v>
      </c>
      <c r="CI280" s="690">
        <f t="shared" si="611"/>
        <v>0.934830277311175</v>
      </c>
      <c r="CJ280" s="689">
        <f t="shared" si="611"/>
        <v>3.0853125172038</v>
      </c>
      <c r="CK280" s="690">
        <f t="shared" si="611"/>
        <v>0.663005164796582</v>
      </c>
      <c r="CL280" s="690">
        <f t="shared" si="611"/>
        <v>0.593947790301909</v>
      </c>
      <c r="CM280" s="690">
        <f t="shared" si="611"/>
        <v>0.510667983439624</v>
      </c>
      <c r="CN280" s="690">
        <f t="shared" si="611"/>
        <v>0.740834277439628</v>
      </c>
      <c r="CO280" s="689">
        <f t="shared" si="611"/>
        <v>2.39968316959994</v>
      </c>
      <c r="CP280" s="690">
        <f t="shared" si="611"/>
        <v>0.561477434867621</v>
      </c>
      <c r="CQ280" s="690">
        <f t="shared" si="611"/>
        <v>0.561947211195329</v>
      </c>
      <c r="CR280" s="690">
        <f t="shared" si="611"/>
        <v>0.555801550368942</v>
      </c>
      <c r="CS280" s="690">
        <f t="shared" si="611"/>
        <v>0.87149820619111</v>
      </c>
      <c r="CT280" s="689">
        <f t="shared" si="611"/>
        <v>2.56003956145231</v>
      </c>
      <c r="CU280" s="690">
        <f t="shared" si="611"/>
        <v>0.699789311502363</v>
      </c>
      <c r="CV280" s="690">
        <f t="shared" si="611"/>
        <v>0.691265936394996</v>
      </c>
      <c r="CW280" s="690">
        <f t="shared" si="611"/>
        <v>0.616144716180135</v>
      </c>
      <c r="CX280" s="690">
        <f t="shared" ref="CX280:DS280" si="612">-CX40/CX279</f>
        <v>0.881625939646756</v>
      </c>
      <c r="CY280" s="689">
        <f t="shared" si="612"/>
        <v>2.86994265186752</v>
      </c>
      <c r="CZ280" s="690">
        <f t="shared" si="612"/>
        <v>0.638318748925399</v>
      </c>
      <c r="DA280" s="690">
        <f t="shared" si="612"/>
        <v>0.621109498109588</v>
      </c>
      <c r="DB280" s="690">
        <f t="shared" si="612"/>
        <v>0.612837173497358</v>
      </c>
      <c r="DC280" s="690">
        <f t="shared" si="612"/>
        <v>0.88839795198017</v>
      </c>
      <c r="DD280" s="689">
        <f t="shared" si="612"/>
        <v>2.7248931114912</v>
      </c>
      <c r="DE280" s="690">
        <f t="shared" si="612"/>
        <v>0.668735634287442</v>
      </c>
      <c r="DF280" s="690">
        <f t="shared" si="612"/>
        <v>0.56127252365576</v>
      </c>
      <c r="DG280" s="690">
        <f t="shared" si="612"/>
        <v>0.579146192593188</v>
      </c>
      <c r="DH280" s="690">
        <f t="shared" si="612"/>
        <v>0.770990767761133</v>
      </c>
      <c r="DI280" s="689">
        <f t="shared" si="612"/>
        <v>2.57430535187976</v>
      </c>
      <c r="DJ280" s="690">
        <f t="shared" si="612"/>
        <v>0.626753338038562</v>
      </c>
      <c r="DK280" s="690">
        <f t="shared" si="612"/>
        <v>0.614501067277519</v>
      </c>
      <c r="DL280" s="690">
        <f t="shared" si="612"/>
        <v>0.569487800642298</v>
      </c>
      <c r="DM280" s="690">
        <f t="shared" si="612"/>
        <v>0.755814465305668</v>
      </c>
      <c r="DN280" s="689">
        <f t="shared" si="612"/>
        <v>2.57187332930847</v>
      </c>
      <c r="DO280" s="690">
        <f t="shared" si="612"/>
        <v>0.629609710159026</v>
      </c>
      <c r="DP280" s="690">
        <f t="shared" si="612"/>
        <v>0.616147276270786</v>
      </c>
      <c r="DQ280" s="690">
        <f t="shared" si="612"/>
        <v>0.5764885765647</v>
      </c>
      <c r="DR280" s="690">
        <f t="shared" si="612"/>
        <v>0.754437819212161</v>
      </c>
      <c r="DS280" s="689">
        <f t="shared" si="612"/>
        <v>2.57903201729362</v>
      </c>
    </row>
    <row r="281" spans="1:123">
      <c r="A281" s="132"/>
      <c r="B281" s="633" t="s">
        <v>204</v>
      </c>
      <c r="C281" s="131"/>
      <c r="D281" s="132"/>
      <c r="E281" s="132"/>
      <c r="F281" s="132"/>
      <c r="G281" s="132"/>
      <c r="H281" s="131"/>
      <c r="I281" s="132"/>
      <c r="J281" s="132"/>
      <c r="K281" s="132"/>
      <c r="L281" s="132"/>
      <c r="M281" s="691"/>
      <c r="N281" s="190"/>
      <c r="O281" s="190"/>
      <c r="P281" s="190"/>
      <c r="Q281" s="190"/>
      <c r="R281" s="691">
        <f>+R269/R280</f>
        <v>93.4027632914347</v>
      </c>
      <c r="S281" s="190"/>
      <c r="T281" s="190"/>
      <c r="U281" s="190"/>
      <c r="V281" s="190"/>
      <c r="W281" s="691">
        <f>+W269/W280</f>
        <v>95.2186391194954</v>
      </c>
      <c r="X281" s="190"/>
      <c r="Y281" s="190"/>
      <c r="Z281" s="190"/>
      <c r="AA281" s="190"/>
      <c r="AB281" s="691">
        <f>+AB269/AB280</f>
        <v>76.3074140773511</v>
      </c>
      <c r="AC281" s="190"/>
      <c r="AD281" s="190"/>
      <c r="AE281" s="190"/>
      <c r="AF281" s="190"/>
      <c r="AG281" s="691">
        <f>+AG269/AG280</f>
        <v>58.5018405275969</v>
      </c>
      <c r="AH281" s="132"/>
      <c r="AI281" s="132"/>
      <c r="AJ281" s="132"/>
      <c r="AK281" s="132"/>
      <c r="AL281" s="691">
        <f t="shared" ref="AL281:BZ281" si="613">+AL269/AL280</f>
        <v>68.3310274985284</v>
      </c>
      <c r="AM281" s="692">
        <f t="shared" si="613"/>
        <v>74.2009125309498</v>
      </c>
      <c r="AN281" s="692">
        <f t="shared" si="613"/>
        <v>84.4948494234665</v>
      </c>
      <c r="AO281" s="692">
        <f t="shared" si="613"/>
        <v>94.4850428712023</v>
      </c>
      <c r="AP281" s="692">
        <f t="shared" si="613"/>
        <v>69.7576475718308</v>
      </c>
      <c r="AQ281" s="691">
        <f t="shared" si="613"/>
        <v>83.2877239388213</v>
      </c>
      <c r="AR281" s="692">
        <f t="shared" si="613"/>
        <v>75.9898947200055</v>
      </c>
      <c r="AS281" s="692">
        <f t="shared" si="613"/>
        <v>88.9828075530721</v>
      </c>
      <c r="AT281" s="692">
        <f t="shared" si="613"/>
        <v>96.873070384611</v>
      </c>
      <c r="AU281" s="692">
        <f t="shared" si="613"/>
        <v>74.4962861731688</v>
      </c>
      <c r="AV281" s="691">
        <f t="shared" si="613"/>
        <v>84.9142338293091</v>
      </c>
      <c r="AW281" s="692">
        <f t="shared" si="613"/>
        <v>85.6348279805585</v>
      </c>
      <c r="AX281" s="692">
        <f t="shared" si="613"/>
        <v>84.1688615880993</v>
      </c>
      <c r="AY281" s="692">
        <f t="shared" si="613"/>
        <v>89.7358622808534</v>
      </c>
      <c r="AZ281" s="692">
        <f t="shared" si="613"/>
        <v>68.8902102923577</v>
      </c>
      <c r="BA281" s="691">
        <f t="shared" si="613"/>
        <v>81.8278337276184</v>
      </c>
      <c r="BB281" s="692">
        <f t="shared" si="613"/>
        <v>90.8974143990591</v>
      </c>
      <c r="BC281" s="692">
        <f t="shared" si="613"/>
        <v>98.7068738718177</v>
      </c>
      <c r="BD281" s="692">
        <f t="shared" si="613"/>
        <v>115.202121649614</v>
      </c>
      <c r="BE281" s="692">
        <f t="shared" si="613"/>
        <v>84.3919167317021</v>
      </c>
      <c r="BF281" s="691">
        <f t="shared" si="613"/>
        <v>99.446098535111</v>
      </c>
      <c r="BG281" s="692">
        <f t="shared" si="613"/>
        <v>100.0868030501</v>
      </c>
      <c r="BH281" s="692">
        <f t="shared" si="613"/>
        <v>99.5602763876033</v>
      </c>
      <c r="BI281" s="692">
        <f t="shared" si="613"/>
        <v>110.990931989924</v>
      </c>
      <c r="BJ281" s="692">
        <f t="shared" si="613"/>
        <v>84.2322167931256</v>
      </c>
      <c r="BK281" s="691">
        <f t="shared" si="613"/>
        <v>98.0285492782425</v>
      </c>
      <c r="BL281" s="692">
        <f t="shared" si="613"/>
        <v>103.902039977829</v>
      </c>
      <c r="BM281" s="692">
        <f t="shared" si="613"/>
        <v>101.406698224516</v>
      </c>
      <c r="BN281" s="692">
        <f t="shared" si="613"/>
        <v>110.890164189294</v>
      </c>
      <c r="BO281" s="692">
        <f t="shared" si="613"/>
        <v>82.2197060285311</v>
      </c>
      <c r="BP281" s="691">
        <f t="shared" si="613"/>
        <v>98.9720848873272</v>
      </c>
      <c r="BQ281" s="692">
        <f t="shared" si="613"/>
        <v>102.578954530401</v>
      </c>
      <c r="BR281" s="692">
        <f t="shared" si="613"/>
        <v>107.671053998399</v>
      </c>
      <c r="BS281" s="692">
        <f t="shared" si="613"/>
        <v>119.921197613222</v>
      </c>
      <c r="BT281" s="692">
        <f t="shared" si="613"/>
        <v>83.0635289401152</v>
      </c>
      <c r="BU281" s="691">
        <f t="shared" si="613"/>
        <v>103.332799490772</v>
      </c>
      <c r="BV281" s="692">
        <f t="shared" si="613"/>
        <v>104.630502364148</v>
      </c>
      <c r="BW281" s="692">
        <f t="shared" si="613"/>
        <v>108.452142591232</v>
      </c>
      <c r="BX281" s="692">
        <f t="shared" si="613"/>
        <v>125.480342695345</v>
      </c>
      <c r="BY281" s="692">
        <f t="shared" si="613"/>
        <v>89.8268858718349</v>
      </c>
      <c r="BZ281" s="691">
        <f t="shared" si="613"/>
        <v>108.243585235006</v>
      </c>
      <c r="CA281" s="692">
        <f t="shared" ref="CA281:CP281" si="614">+CA269/CA280</f>
        <v>162.162394508124</v>
      </c>
      <c r="CB281" s="692">
        <f t="shared" si="614"/>
        <v>144.48642490706</v>
      </c>
      <c r="CC281" s="692">
        <f t="shared" si="614"/>
        <v>135.517021988606</v>
      </c>
      <c r="CD281" s="692">
        <f t="shared" si="614"/>
        <v>91.0109707372603</v>
      </c>
      <c r="CE281" s="691">
        <f t="shared" si="614"/>
        <v>128.279299278751</v>
      </c>
      <c r="CF281" s="692">
        <f t="shared" si="614"/>
        <v>116.72569281442</v>
      </c>
      <c r="CG281" s="692">
        <f t="shared" si="614"/>
        <v>115.219129771093</v>
      </c>
      <c r="CH281" s="692">
        <f t="shared" si="614"/>
        <v>128.419098655777</v>
      </c>
      <c r="CI281" s="692">
        <f t="shared" si="614"/>
        <v>98.413586115992</v>
      </c>
      <c r="CJ281" s="691">
        <f t="shared" si="614"/>
        <v>118.302440341051</v>
      </c>
      <c r="CK281" s="692">
        <f t="shared" si="614"/>
        <v>134.237264995222</v>
      </c>
      <c r="CL281" s="692">
        <f t="shared" si="614"/>
        <v>154.895769463568</v>
      </c>
      <c r="CM281" s="692">
        <f t="shared" si="614"/>
        <v>180.156193424014</v>
      </c>
      <c r="CN281" s="692">
        <f t="shared" si="614"/>
        <v>124.184318681849</v>
      </c>
      <c r="CO281" s="691">
        <f t="shared" si="614"/>
        <v>152.103412910485</v>
      </c>
      <c r="CP281" s="692">
        <f t="shared" si="614"/>
        <v>158.510377217534</v>
      </c>
      <c r="CQ281" s="692">
        <f t="shared" ref="CQ281:DI281" si="615">+CQ269/CQ280</f>
        <v>163.716445543532</v>
      </c>
      <c r="CR281" s="692">
        <f t="shared" si="615"/>
        <v>165.526706319783</v>
      </c>
      <c r="CS281" s="692">
        <f t="shared" si="615"/>
        <v>105.565334898493</v>
      </c>
      <c r="CT281" s="691">
        <f t="shared" si="615"/>
        <v>142.575921675576</v>
      </c>
      <c r="CU281" s="692">
        <f t="shared" si="615"/>
        <v>128.610138109685</v>
      </c>
      <c r="CV281" s="692">
        <f t="shared" si="615"/>
        <v>133.089155932935</v>
      </c>
      <c r="CW281" s="692">
        <f t="shared" si="615"/>
        <v>149.315570813242</v>
      </c>
      <c r="CX281" s="692">
        <f t="shared" si="615"/>
        <v>104.35264647143</v>
      </c>
      <c r="CY281" s="691">
        <f t="shared" si="615"/>
        <v>127.528680673057</v>
      </c>
      <c r="CZ281" s="692">
        <f t="shared" si="615"/>
        <v>139.428773085281</v>
      </c>
      <c r="DA281" s="692">
        <f t="shared" si="615"/>
        <v>148.122030463246</v>
      </c>
      <c r="DB281" s="692">
        <f t="shared" si="615"/>
        <v>150.121441679152</v>
      </c>
      <c r="DC281" s="692">
        <f t="shared" si="615"/>
        <v>103.557195055368</v>
      </c>
      <c r="DD281" s="691">
        <f t="shared" si="615"/>
        <v>133.950208344229</v>
      </c>
      <c r="DE281" s="692">
        <f t="shared" si="615"/>
        <v>133.086971049228</v>
      </c>
      <c r="DF281" s="692">
        <f t="shared" si="615"/>
        <v>163.913243785341</v>
      </c>
      <c r="DG281" s="692">
        <f t="shared" si="615"/>
        <v>158.854536517041</v>
      </c>
      <c r="DH281" s="692">
        <f t="shared" si="615"/>
        <v>119.326980097514</v>
      </c>
      <c r="DI281" s="691">
        <f t="shared" si="615"/>
        <v>141.785821846455</v>
      </c>
      <c r="DJ281" s="692">
        <f t="shared" ref="DJ281:DN281" si="616">+DJ269/DJ280</f>
        <v>142.001637005281</v>
      </c>
      <c r="DK281" s="692">
        <f t="shared" si="616"/>
        <v>149.714955594131</v>
      </c>
      <c r="DL281" s="692">
        <f t="shared" si="616"/>
        <v>161.548675663004</v>
      </c>
      <c r="DM281" s="692">
        <f t="shared" si="616"/>
        <v>121.722994495472</v>
      </c>
      <c r="DN281" s="691">
        <f t="shared" si="616"/>
        <v>141.919897780558</v>
      </c>
      <c r="DO281" s="692">
        <f t="shared" ref="DO281:DS281" si="617">+DO269/DO280</f>
        <v>142.945698815966</v>
      </c>
      <c r="DP281" s="692">
        <f t="shared" si="617"/>
        <v>149.314950407356</v>
      </c>
      <c r="DQ281" s="692">
        <f t="shared" si="617"/>
        <v>159.586856947329</v>
      </c>
      <c r="DR281" s="692">
        <f t="shared" si="617"/>
        <v>121.945106219719</v>
      </c>
      <c r="DS281" s="691">
        <f t="shared" si="617"/>
        <v>141.913709308686</v>
      </c>
    </row>
    <row r="282" spans="1:123">
      <c r="A282" s="132"/>
      <c r="B282" s="38" t="s">
        <v>205</v>
      </c>
      <c r="C282" s="693"/>
      <c r="D282" s="285"/>
      <c r="E282" s="285"/>
      <c r="F282" s="285"/>
      <c r="G282" s="285"/>
      <c r="H282" s="693"/>
      <c r="I282" s="285"/>
      <c r="J282" s="285"/>
      <c r="K282" s="285"/>
      <c r="L282" s="285"/>
      <c r="M282" s="530"/>
      <c r="N282" s="87"/>
      <c r="O282" s="87"/>
      <c r="P282" s="87"/>
      <c r="Q282" s="87"/>
      <c r="R282" s="530">
        <f>R175/M175-1</f>
        <v>0.468080295438133</v>
      </c>
      <c r="S282" s="87"/>
      <c r="T282" s="87"/>
      <c r="U282" s="87"/>
      <c r="V282" s="87"/>
      <c r="W282" s="530">
        <f>W175/R175-1</f>
        <v>0.331492966577892</v>
      </c>
      <c r="X282" s="87"/>
      <c r="Y282" s="87"/>
      <c r="Z282" s="87"/>
      <c r="AA282" s="87"/>
      <c r="AB282" s="530">
        <f>AB175/W175-1</f>
        <v>-0.153330387504563</v>
      </c>
      <c r="AC282" s="87"/>
      <c r="AD282" s="87"/>
      <c r="AE282" s="87"/>
      <c r="AF282" s="87"/>
      <c r="AG282" s="530">
        <f>AG175/AB175-1</f>
        <v>0.30403902881779</v>
      </c>
      <c r="AH282" s="87"/>
      <c r="AI282" s="87"/>
      <c r="AJ282" s="87"/>
      <c r="AK282" s="87"/>
      <c r="AL282" s="530">
        <f t="shared" ref="AL282:CW282" si="618">AL175/AG175-1</f>
        <v>0.811359167551201</v>
      </c>
      <c r="AM282" s="87">
        <f t="shared" si="618"/>
        <v>0.671437219626531</v>
      </c>
      <c r="AN282" s="87">
        <f t="shared" si="618"/>
        <v>0.410580081904505</v>
      </c>
      <c r="AO282" s="87">
        <f t="shared" si="618"/>
        <v>0.275275027289829</v>
      </c>
      <c r="AP282" s="87">
        <f t="shared" si="618"/>
        <v>0.491128466718542</v>
      </c>
      <c r="AQ282" s="530">
        <f t="shared" si="618"/>
        <v>0.491128466718542</v>
      </c>
      <c r="AR282" s="87">
        <f t="shared" si="618"/>
        <v>0.334633493996044</v>
      </c>
      <c r="AS282" s="87">
        <f t="shared" si="618"/>
        <v>0.300100496099794</v>
      </c>
      <c r="AT282" s="87">
        <f t="shared" si="618"/>
        <v>0.25149642436531</v>
      </c>
      <c r="AU282" s="87">
        <f t="shared" si="618"/>
        <v>0.198863563154707</v>
      </c>
      <c r="AV282" s="530">
        <f t="shared" si="618"/>
        <v>0.198863563154707</v>
      </c>
      <c r="AW282" s="87">
        <f t="shared" si="618"/>
        <v>0.234239311957248</v>
      </c>
      <c r="AX282" s="87">
        <f t="shared" si="618"/>
        <v>0.082807783858065</v>
      </c>
      <c r="AY282" s="87">
        <f t="shared" si="618"/>
        <v>0.114996555972719</v>
      </c>
      <c r="AZ282" s="87">
        <f t="shared" si="618"/>
        <v>0.118362082863131</v>
      </c>
      <c r="BA282" s="530">
        <f t="shared" si="618"/>
        <v>0.118362082863131</v>
      </c>
      <c r="BB282" s="87">
        <f t="shared" si="618"/>
        <v>0.333327695560254</v>
      </c>
      <c r="BC282" s="87">
        <f t="shared" si="618"/>
        <v>0.589823344777963</v>
      </c>
      <c r="BD282" s="87">
        <f t="shared" si="618"/>
        <v>0.556388426048786</v>
      </c>
      <c r="BE282" s="87">
        <f t="shared" si="618"/>
        <v>0.36466682042707</v>
      </c>
      <c r="BF282" s="530">
        <f t="shared" si="618"/>
        <v>0.36466682042707</v>
      </c>
      <c r="BG282" s="87">
        <f t="shared" si="618"/>
        <v>0.21027995890046</v>
      </c>
      <c r="BH282" s="87">
        <f t="shared" si="618"/>
        <v>-0.011860003492429</v>
      </c>
      <c r="BI282" s="87">
        <f t="shared" si="618"/>
        <v>0.0188985137790598</v>
      </c>
      <c r="BJ282" s="87">
        <f t="shared" si="618"/>
        <v>0.0507836019281078</v>
      </c>
      <c r="BK282" s="530">
        <f t="shared" si="618"/>
        <v>0.0507836019281078</v>
      </c>
      <c r="BL282" s="87">
        <f t="shared" si="618"/>
        <v>0.0619082555986443</v>
      </c>
      <c r="BM282" s="87">
        <f t="shared" si="618"/>
        <v>0.140973532074192</v>
      </c>
      <c r="BN282" s="87">
        <f t="shared" si="618"/>
        <v>0.0888251205715007</v>
      </c>
      <c r="BO282" s="87">
        <f t="shared" si="618"/>
        <v>0.104311870040746</v>
      </c>
      <c r="BP282" s="530">
        <f t="shared" si="618"/>
        <v>0.104311870040746</v>
      </c>
      <c r="BQ282" s="87">
        <f t="shared" si="618"/>
        <v>0.228639578878105</v>
      </c>
      <c r="BR282" s="87">
        <f t="shared" si="618"/>
        <v>0.241187477873869</v>
      </c>
      <c r="BS282" s="87">
        <f t="shared" si="618"/>
        <v>0.249687572437842</v>
      </c>
      <c r="BT282" s="87">
        <f t="shared" si="618"/>
        <v>0.228424393589067</v>
      </c>
      <c r="BU282" s="530">
        <f t="shared" si="618"/>
        <v>0.228424393589067</v>
      </c>
      <c r="BV282" s="87">
        <f t="shared" si="618"/>
        <v>0.186268392936041</v>
      </c>
      <c r="BW282" s="87">
        <f t="shared" si="618"/>
        <v>0.258796145383424</v>
      </c>
      <c r="BX282" s="87">
        <f t="shared" si="618"/>
        <v>0.26434149006736</v>
      </c>
      <c r="BY282" s="87">
        <f t="shared" si="618"/>
        <v>0.280778674149421</v>
      </c>
      <c r="BZ282" s="530">
        <f t="shared" si="618"/>
        <v>0.280778674149421</v>
      </c>
      <c r="CA282" s="87">
        <f t="shared" si="618"/>
        <v>0.412732558926967</v>
      </c>
      <c r="CB282" s="87">
        <f t="shared" si="618"/>
        <v>0.361078629317775</v>
      </c>
      <c r="CC282" s="87">
        <f t="shared" si="618"/>
        <v>0.229449116730612</v>
      </c>
      <c r="CD282" s="87">
        <f t="shared" si="618"/>
        <v>0.248242570581644</v>
      </c>
      <c r="CE282" s="530">
        <f t="shared" si="618"/>
        <v>0.248242570581644</v>
      </c>
      <c r="CF282" s="87">
        <f t="shared" si="618"/>
        <v>0.171033268408194</v>
      </c>
      <c r="CG282" s="87">
        <f t="shared" si="618"/>
        <v>0.174000740219955</v>
      </c>
      <c r="CH282" s="87">
        <f t="shared" si="618"/>
        <v>0.224270094294349</v>
      </c>
      <c r="CI282" s="87">
        <f t="shared" si="618"/>
        <v>0.493257420082506</v>
      </c>
      <c r="CJ282" s="530">
        <f t="shared" si="618"/>
        <v>0.493257420082506</v>
      </c>
      <c r="CK282" s="87">
        <f t="shared" si="618"/>
        <v>0.739742662609669</v>
      </c>
      <c r="CL282" s="87">
        <f t="shared" si="618"/>
        <v>0.85111339569227</v>
      </c>
      <c r="CM282" s="87">
        <f t="shared" si="618"/>
        <v>0.845233605254794</v>
      </c>
      <c r="CN282" s="87">
        <f t="shared" si="618"/>
        <v>0.497563842434564</v>
      </c>
      <c r="CO282" s="530">
        <f t="shared" si="618"/>
        <v>0.497563842434564</v>
      </c>
      <c r="CP282" s="87">
        <f t="shared" si="618"/>
        <v>0.239422292633957</v>
      </c>
      <c r="CQ282" s="87">
        <f t="shared" si="618"/>
        <v>0.135886916959173</v>
      </c>
      <c r="CR282" s="87">
        <f t="shared" si="618"/>
        <v>-0.0448402609839951</v>
      </c>
      <c r="CS282" s="87">
        <f t="shared" si="618"/>
        <v>-0.0855104475920757</v>
      </c>
      <c r="CT282" s="530">
        <f t="shared" si="618"/>
        <v>-0.0855104475920757</v>
      </c>
      <c r="CU282" s="87">
        <f t="shared" si="618"/>
        <v>-0.148733826779885</v>
      </c>
      <c r="CV282" s="87">
        <f t="shared" si="618"/>
        <v>-0.139521048584588</v>
      </c>
      <c r="CW282" s="87">
        <f t="shared" si="618"/>
        <v>0.0825165888542856</v>
      </c>
      <c r="CX282" s="87">
        <f t="shared" ref="CX282:DS282" si="619">CX175/CS175-1</f>
        <v>0.0895125574001852</v>
      </c>
      <c r="CY282" s="530">
        <f t="shared" si="619"/>
        <v>0.0895125574001852</v>
      </c>
      <c r="CZ282" s="87">
        <f t="shared" si="619"/>
        <v>0.228076656901567</v>
      </c>
      <c r="DA282" s="87">
        <f t="shared" si="619"/>
        <v>0.205401097097848</v>
      </c>
      <c r="DB282" s="87">
        <f t="shared" si="619"/>
        <v>0.109362966039626</v>
      </c>
      <c r="DC282" s="87">
        <f t="shared" si="619"/>
        <v>0.179374112827227</v>
      </c>
      <c r="DD282" s="530">
        <f t="shared" si="619"/>
        <v>0.179374112827227</v>
      </c>
      <c r="DE282" s="87">
        <f t="shared" si="619"/>
        <v>0.0211834578119487</v>
      </c>
      <c r="DF282" s="87">
        <f t="shared" si="619"/>
        <v>-0.00645547060496809</v>
      </c>
      <c r="DG282" s="87">
        <f t="shared" si="619"/>
        <v>0.0217180292593162</v>
      </c>
      <c r="DH282" s="87">
        <f t="shared" si="619"/>
        <v>0.0461576908063339</v>
      </c>
      <c r="DI282" s="530">
        <f t="shared" si="619"/>
        <v>0.0461576908063339</v>
      </c>
      <c r="DJ282" s="87">
        <f t="shared" si="619"/>
        <v>-0.0212509893547286</v>
      </c>
      <c r="DK282" s="87">
        <f t="shared" si="619"/>
        <v>0.0147986355612237</v>
      </c>
      <c r="DL282" s="87">
        <f t="shared" si="619"/>
        <v>0.0162892842160416</v>
      </c>
      <c r="DM282" s="87">
        <f t="shared" si="619"/>
        <v>0.00291899398926931</v>
      </c>
      <c r="DN282" s="530">
        <f t="shared" si="619"/>
        <v>0.00291899398926931</v>
      </c>
      <c r="DO282" s="87">
        <f t="shared" si="619"/>
        <v>0.0191339166535043</v>
      </c>
      <c r="DP282" s="87">
        <f t="shared" si="619"/>
        <v>0.00316334132700069</v>
      </c>
      <c r="DQ282" s="87">
        <f t="shared" si="619"/>
        <v>0.00764401992793196</v>
      </c>
      <c r="DR282" s="87">
        <f t="shared" si="619"/>
        <v>0.0134245585221049</v>
      </c>
      <c r="DS282" s="530">
        <f t="shared" si="619"/>
        <v>0.0134245585221049</v>
      </c>
    </row>
    <row r="283" spans="1:123">
      <c r="A283" s="132"/>
      <c r="B283" s="633"/>
      <c r="C283" s="131"/>
      <c r="D283" s="132"/>
      <c r="E283" s="132"/>
      <c r="F283" s="132"/>
      <c r="G283" s="132"/>
      <c r="H283" s="131"/>
      <c r="I283" s="132"/>
      <c r="J283" s="132"/>
      <c r="K283" s="132"/>
      <c r="L283" s="132"/>
      <c r="M283" s="131"/>
      <c r="N283" s="190"/>
      <c r="O283" s="190"/>
      <c r="P283" s="190"/>
      <c r="Q283" s="190"/>
      <c r="R283" s="131"/>
      <c r="S283" s="190"/>
      <c r="T283" s="190"/>
      <c r="U283" s="190"/>
      <c r="V283" s="190"/>
      <c r="W283" s="131"/>
      <c r="X283" s="190"/>
      <c r="Y283" s="190"/>
      <c r="Z283" s="190"/>
      <c r="AA283" s="190"/>
      <c r="AB283" s="131"/>
      <c r="AC283" s="190"/>
      <c r="AD283" s="190"/>
      <c r="AE283" s="190"/>
      <c r="AF283" s="190"/>
      <c r="AG283" s="131"/>
      <c r="AH283" s="132"/>
      <c r="AI283" s="132"/>
      <c r="AJ283" s="132"/>
      <c r="AK283" s="132"/>
      <c r="AL283" s="131"/>
      <c r="AM283" s="132"/>
      <c r="AN283" s="132"/>
      <c r="AO283" s="132"/>
      <c r="AP283" s="132"/>
      <c r="AQ283" s="131"/>
      <c r="AR283" s="132"/>
      <c r="AS283" s="132"/>
      <c r="AT283" s="132"/>
      <c r="AU283" s="132"/>
      <c r="AV283" s="131"/>
      <c r="AW283" s="132"/>
      <c r="AX283" s="132"/>
      <c r="AY283" s="132"/>
      <c r="AZ283" s="132"/>
      <c r="BA283" s="131"/>
      <c r="BB283" s="132"/>
      <c r="BC283" s="132"/>
      <c r="BD283" s="132"/>
      <c r="BE283" s="132"/>
      <c r="BF283" s="131"/>
      <c r="BG283" s="132"/>
      <c r="BH283" s="132"/>
      <c r="BI283" s="132"/>
      <c r="BJ283" s="132"/>
      <c r="BK283" s="131"/>
      <c r="BL283" s="132"/>
      <c r="BM283" s="132"/>
      <c r="BN283" s="132"/>
      <c r="BO283" s="132"/>
      <c r="BP283" s="131"/>
      <c r="BQ283" s="190"/>
      <c r="BR283" s="190"/>
      <c r="BS283" s="190"/>
      <c r="BT283" s="190"/>
      <c r="BU283" s="131"/>
      <c r="BV283" s="190"/>
      <c r="BW283" s="190"/>
      <c r="BX283" s="190"/>
      <c r="BY283" s="190"/>
      <c r="BZ283" s="131"/>
      <c r="CA283" s="190"/>
      <c r="CB283" s="190"/>
      <c r="CC283" s="190"/>
      <c r="CD283" s="190"/>
      <c r="CE283" s="131"/>
      <c r="CF283" s="190"/>
      <c r="CG283" s="190"/>
      <c r="CH283" s="190"/>
      <c r="CI283" s="190"/>
      <c r="CJ283" s="131"/>
      <c r="CK283" s="190"/>
      <c r="CL283" s="190"/>
      <c r="CM283" s="190"/>
      <c r="CN283" s="190"/>
      <c r="CO283" s="131"/>
      <c r="CP283" s="190"/>
      <c r="CQ283" s="190"/>
      <c r="CR283" s="190"/>
      <c r="CS283" s="190"/>
      <c r="CT283" s="131"/>
      <c r="CU283" s="190"/>
      <c r="CV283" s="190"/>
      <c r="CW283" s="190"/>
      <c r="CX283" s="190"/>
      <c r="CY283" s="131"/>
      <c r="CZ283" s="190"/>
      <c r="DA283" s="190"/>
      <c r="DB283" s="190"/>
      <c r="DC283" s="190"/>
      <c r="DD283" s="131"/>
      <c r="DE283" s="190"/>
      <c r="DF283" s="190"/>
      <c r="DG283" s="190"/>
      <c r="DH283" s="190"/>
      <c r="DI283" s="131"/>
      <c r="DJ283" s="190"/>
      <c r="DK283" s="190"/>
      <c r="DL283" s="190"/>
      <c r="DM283" s="190"/>
      <c r="DN283" s="131"/>
      <c r="DO283" s="190"/>
      <c r="DP283" s="190"/>
      <c r="DQ283" s="190"/>
      <c r="DR283" s="190"/>
      <c r="DS283" s="131"/>
    </row>
    <row r="284" spans="1:123">
      <c r="A284" s="132"/>
      <c r="B284" s="687" t="s">
        <v>107</v>
      </c>
      <c r="C284" s="131"/>
      <c r="D284" s="132"/>
      <c r="E284" s="132"/>
      <c r="F284" s="132"/>
      <c r="G284" s="132"/>
      <c r="H284" s="131"/>
      <c r="I284" s="132"/>
      <c r="J284" s="132"/>
      <c r="K284" s="132"/>
      <c r="L284" s="132"/>
      <c r="M284" s="131"/>
      <c r="N284" s="190"/>
      <c r="O284" s="190"/>
      <c r="P284" s="190"/>
      <c r="Q284" s="190"/>
      <c r="R284" s="131"/>
      <c r="S284" s="190"/>
      <c r="T284" s="190"/>
      <c r="U284" s="190"/>
      <c r="V284" s="190"/>
      <c r="W284" s="131"/>
      <c r="X284" s="190"/>
      <c r="Y284" s="190"/>
      <c r="Z284" s="190"/>
      <c r="AA284" s="190"/>
      <c r="AB284" s="131"/>
      <c r="AC284" s="190"/>
      <c r="AD284" s="190"/>
      <c r="AE284" s="190"/>
      <c r="AF284" s="190"/>
      <c r="AG284" s="131"/>
      <c r="AH284" s="132"/>
      <c r="AI284" s="132"/>
      <c r="AJ284" s="132"/>
      <c r="AK284" s="132"/>
      <c r="AL284" s="131"/>
      <c r="AM284" s="132"/>
      <c r="AN284" s="132"/>
      <c r="AO284" s="132"/>
      <c r="AP284" s="132"/>
      <c r="AQ284" s="131"/>
      <c r="AR284" s="132"/>
      <c r="AS284" s="132"/>
      <c r="AT284" s="132"/>
      <c r="AU284" s="132"/>
      <c r="AV284" s="131"/>
      <c r="AW284" s="132"/>
      <c r="AX284" s="132"/>
      <c r="AY284" s="132"/>
      <c r="AZ284" s="132"/>
      <c r="BA284" s="131"/>
      <c r="BB284" s="132"/>
      <c r="BC284" s="132"/>
      <c r="BD284" s="132"/>
      <c r="BE284" s="132"/>
      <c r="BF284" s="131"/>
      <c r="BG284" s="132"/>
      <c r="BH284" s="132"/>
      <c r="BI284" s="132"/>
      <c r="BJ284" s="132"/>
      <c r="BK284" s="131"/>
      <c r="BL284" s="132"/>
      <c r="BM284" s="132"/>
      <c r="BN284" s="132"/>
      <c r="BO284" s="132"/>
      <c r="BP284" s="131"/>
      <c r="BQ284" s="190"/>
      <c r="BR284" s="190"/>
      <c r="BS284" s="190"/>
      <c r="BT284" s="190"/>
      <c r="BU284" s="131"/>
      <c r="BV284" s="190"/>
      <c r="BW284" s="190"/>
      <c r="BX284" s="190"/>
      <c r="BY284" s="190"/>
      <c r="BZ284" s="131"/>
      <c r="CA284" s="190"/>
      <c r="CB284" s="190"/>
      <c r="CC284" s="190"/>
      <c r="CD284" s="190"/>
      <c r="CE284" s="131"/>
      <c r="CF284" s="190"/>
      <c r="CG284" s="190"/>
      <c r="CH284" s="190"/>
      <c r="CI284" s="190"/>
      <c r="CJ284" s="131"/>
      <c r="CK284" s="190"/>
      <c r="CL284" s="190"/>
      <c r="CM284" s="190"/>
      <c r="CN284" s="190"/>
      <c r="CO284" s="131"/>
      <c r="CP284" s="190"/>
      <c r="CQ284" s="190"/>
      <c r="CR284" s="190"/>
      <c r="CS284" s="190"/>
      <c r="CT284" s="131"/>
      <c r="CU284" s="190"/>
      <c r="CV284" s="190"/>
      <c r="CW284" s="190"/>
      <c r="CX284" s="190"/>
      <c r="CY284" s="131"/>
      <c r="CZ284" s="190"/>
      <c r="DA284" s="190"/>
      <c r="DB284" s="190"/>
      <c r="DC284" s="190"/>
      <c r="DD284" s="131"/>
      <c r="DE284" s="190"/>
      <c r="DF284" s="190"/>
      <c r="DG284" s="190"/>
      <c r="DH284" s="190"/>
      <c r="DI284" s="131"/>
      <c r="DJ284" s="190"/>
      <c r="DK284" s="190"/>
      <c r="DL284" s="190"/>
      <c r="DM284" s="190"/>
      <c r="DN284" s="131"/>
      <c r="DO284" s="190"/>
      <c r="DP284" s="190"/>
      <c r="DQ284" s="190"/>
      <c r="DR284" s="190"/>
      <c r="DS284" s="131"/>
    </row>
    <row r="285" spans="1:123">
      <c r="A285" s="132"/>
      <c r="B285" s="633" t="s">
        <v>206</v>
      </c>
      <c r="C285" s="131"/>
      <c r="D285" s="132"/>
      <c r="E285" s="132"/>
      <c r="F285" s="132"/>
      <c r="G285" s="132"/>
      <c r="H285" s="131"/>
      <c r="I285" s="132"/>
      <c r="J285" s="132"/>
      <c r="K285" s="132"/>
      <c r="L285" s="132"/>
      <c r="M285" s="131"/>
      <c r="N285" s="132"/>
      <c r="O285" s="132"/>
      <c r="P285" s="132"/>
      <c r="Q285" s="132"/>
      <c r="R285" s="124">
        <f>R175-M175-R40</f>
        <v>140.87527</v>
      </c>
      <c r="S285" s="132"/>
      <c r="T285" s="132"/>
      <c r="U285" s="132"/>
      <c r="V285" s="132"/>
      <c r="W285" s="124">
        <f>W175-R175-W40</f>
        <v>188.126251</v>
      </c>
      <c r="X285" s="132"/>
      <c r="Y285" s="132"/>
      <c r="Z285" s="132"/>
      <c r="AA285" s="132"/>
      <c r="AB285" s="124">
        <f>AB175-W175-AB40</f>
        <v>221.906</v>
      </c>
      <c r="AC285" s="132"/>
      <c r="AD285" s="132"/>
      <c r="AE285" s="132"/>
      <c r="AF285" s="132"/>
      <c r="AG285" s="124">
        <f>AG175-AB175-AG40</f>
        <v>330.156</v>
      </c>
      <c r="AH285" s="132"/>
      <c r="AI285" s="132"/>
      <c r="AJ285" s="132"/>
      <c r="AK285" s="132"/>
      <c r="AL285" s="124">
        <f>AL175-AG175-AL40</f>
        <v>478.142</v>
      </c>
      <c r="AM285" s="219">
        <f>AM175-AL175-AM40</f>
        <v>132.016</v>
      </c>
      <c r="AN285" s="125">
        <f>AN175-AM175-AN40</f>
        <v>144.578</v>
      </c>
      <c r="AO285" s="125">
        <f>AO175-AN175-AO40</f>
        <v>180.585</v>
      </c>
      <c r="AP285" s="220">
        <f>AP175-AO175-AP40</f>
        <v>201.478</v>
      </c>
      <c r="AQ285" s="220">
        <f>AQ175-AL175-AQ40</f>
        <v>658.657</v>
      </c>
      <c r="AR285" s="219">
        <f>AR175-AQ175-AR40</f>
        <v>163.547</v>
      </c>
      <c r="AS285" s="125">
        <f>AS175-AR175-AS40</f>
        <v>177.85</v>
      </c>
      <c r="AT285" s="125">
        <f>AT175-AS175-AT40</f>
        <v>218.444</v>
      </c>
      <c r="AU285" s="220">
        <f>AU175-AT175-AU40</f>
        <v>222.139</v>
      </c>
      <c r="AV285" s="220">
        <f>AV175-AQ175-AV40</f>
        <v>781.98</v>
      </c>
      <c r="AW285" s="219">
        <f>AW175-AV175-AW40</f>
        <v>180.159</v>
      </c>
      <c r="AX285" s="125">
        <f>AX175-AW175-AX40</f>
        <v>192.528</v>
      </c>
      <c r="AY285" s="125">
        <f>AY175-AX175-AY40</f>
        <v>261.667</v>
      </c>
      <c r="AZ285" s="220">
        <f>AZ175-AY175-AZ40</f>
        <v>270.705</v>
      </c>
      <c r="BA285" s="220">
        <f>BA175-AV175-BA40</f>
        <v>905.059</v>
      </c>
      <c r="BB285" s="219">
        <f>BB175-BA175-BB40</f>
        <v>246.05</v>
      </c>
      <c r="BC285" s="125">
        <f>BC175-BB175-BC40</f>
        <v>285.093</v>
      </c>
      <c r="BD285" s="125">
        <f>BD175-BC175-BD40</f>
        <v>332.042</v>
      </c>
      <c r="BE285" s="220">
        <f>BE175-BD175-BE40</f>
        <v>276.065</v>
      </c>
      <c r="BF285" s="220">
        <f>BF175-BA175-BF40</f>
        <v>1139.25</v>
      </c>
      <c r="BG285" s="219">
        <f>BG175-BF175-BG40</f>
        <v>258.606</v>
      </c>
      <c r="BH285" s="125">
        <f>BH175-BG175-BH40</f>
        <v>251.408</v>
      </c>
      <c r="BI285" s="125">
        <f>BI175-BH175-BI40</f>
        <v>353.225</v>
      </c>
      <c r="BJ285" s="220">
        <f>BJ175-BI175-BJ40</f>
        <v>295.959</v>
      </c>
      <c r="BK285" s="220">
        <f>BK175-BF175-BK40</f>
        <v>1159.198</v>
      </c>
      <c r="BL285" s="219">
        <f>BL175-BK175-BL40</f>
        <v>263.511</v>
      </c>
      <c r="BM285" s="125">
        <f>BM175-BL175-BM40</f>
        <v>293.806</v>
      </c>
      <c r="BN285" s="125">
        <f>BN175-BM175-BN40</f>
        <v>376.402</v>
      </c>
      <c r="BO285" s="220">
        <f>BO175-BN175-BO40</f>
        <v>339.104</v>
      </c>
      <c r="BP285" s="220">
        <f>BP175-BK175-BP40</f>
        <v>1272.823</v>
      </c>
      <c r="BQ285" s="219">
        <f>BQ175-BP175-BQ40</f>
        <v>348.856</v>
      </c>
      <c r="BR285" s="125">
        <f>BR175-BQ175-BR40</f>
        <v>346.533</v>
      </c>
      <c r="BS285" s="125">
        <f>BS175-BR175-BS40</f>
        <v>444.197</v>
      </c>
      <c r="BT285" s="220">
        <f>BT175-BS175-BT40</f>
        <v>407.726</v>
      </c>
      <c r="BU285" s="220">
        <f>BU175-BP175-BU40</f>
        <v>1547.312</v>
      </c>
      <c r="BV285" s="219">
        <f>BV175-BU175-BV40</f>
        <v>398.759</v>
      </c>
      <c r="BW285" s="125">
        <f>BW175-BV175-BW40</f>
        <v>448.844</v>
      </c>
      <c r="BX285" s="125">
        <f>BX175-BW175-BX40</f>
        <v>543.902</v>
      </c>
      <c r="BY285" s="220">
        <f>BY175-BX175-BY40</f>
        <v>478.076</v>
      </c>
      <c r="BZ285" s="220">
        <f>BZ175-BU175-BZ40</f>
        <v>1869.581</v>
      </c>
      <c r="CA285" s="219">
        <f>CA175-BZ175-CA40</f>
        <v>424.896</v>
      </c>
      <c r="CB285" s="125">
        <f>CB175-CA175-CB40</f>
        <v>460.365</v>
      </c>
      <c r="CC285" s="125">
        <f>CC175-CB175-CC40</f>
        <v>588.289</v>
      </c>
      <c r="CD285" s="220">
        <f>CD175-CC175-CD40</f>
        <v>593.056</v>
      </c>
      <c r="CE285" s="220">
        <f>CE175-BZ175-CE40</f>
        <v>2066.606</v>
      </c>
      <c r="CF285" s="219">
        <f>CF175-CE175-CF40</f>
        <v>611.811</v>
      </c>
      <c r="CG285" s="125">
        <f>CG175-CF175-CG40</f>
        <v>664.878</v>
      </c>
      <c r="CH285" s="125">
        <f>CH175-CG175-CH40</f>
        <v>775.092</v>
      </c>
      <c r="CI285" s="220">
        <f>CI175-CH175-CI40</f>
        <v>915.522</v>
      </c>
      <c r="CJ285" s="220">
        <f>CJ175-CE175-CJ40</f>
        <v>2967.303</v>
      </c>
      <c r="CK285" s="219">
        <f>CK175-CJ175-CK40</f>
        <v>1051.629</v>
      </c>
      <c r="CL285" s="125">
        <f>CL175-CK175-CL40</f>
        <v>999.888</v>
      </c>
      <c r="CM285" s="125">
        <f>CM175-CL175-CM40</f>
        <v>1097.677</v>
      </c>
      <c r="CN285" s="220">
        <f>CN175-CM175-CN40</f>
        <v>886.942</v>
      </c>
      <c r="CO285" s="220">
        <f>CO175-CJ175-CO40</f>
        <v>4036.136</v>
      </c>
      <c r="CP285" s="219">
        <f>CP175-CO175-CP40</f>
        <v>982.933</v>
      </c>
      <c r="CQ285" s="125">
        <f>CQ175-CP175-CQ40</f>
        <v>991.094</v>
      </c>
      <c r="CR285" s="125">
        <f>CR175-CQ175-CR40</f>
        <v>926.709</v>
      </c>
      <c r="CS285" s="220">
        <f>CS175-CR175-CS40</f>
        <v>961.663</v>
      </c>
      <c r="CT285" s="220">
        <f>CT175-CO175-CT40</f>
        <v>3862.399</v>
      </c>
      <c r="CU285" s="219">
        <f>CU175-CT175-CU40</f>
        <v>955.488</v>
      </c>
      <c r="CV285" s="125">
        <f>CV175-CU175-CV40</f>
        <v>1042.669</v>
      </c>
      <c r="CW285" s="125">
        <f>CW175-CV175-CW40</f>
        <v>1366.904</v>
      </c>
      <c r="CX285" s="220">
        <f>CX175-CW175-CX40</f>
        <v>1070.733</v>
      </c>
      <c r="CY285" s="220">
        <f>CY175-CT175-CY40</f>
        <v>4435.794</v>
      </c>
      <c r="CZ285" s="219">
        <f>CZ175-CY175-CZ40</f>
        <v>1197.544</v>
      </c>
      <c r="DA285" s="125">
        <f>DA175-CZ175-DA40</f>
        <v>1118.496</v>
      </c>
      <c r="DB285" s="125">
        <f>DB175-DA175-DB40</f>
        <v>1415.278</v>
      </c>
      <c r="DC285" s="220">
        <f>DC175-DB175-DC40</f>
        <v>1345.822</v>
      </c>
      <c r="DD285" s="220">
        <f>DD175-CY175-DD40</f>
        <v>5077.14</v>
      </c>
      <c r="DE285" s="219">
        <f>DE175-DD175-DE40</f>
        <v>1119.12</v>
      </c>
      <c r="DF285" s="125">
        <f>DF175-DE175-DF40</f>
        <v>978.115</v>
      </c>
      <c r="DG285" s="125">
        <f>DG175-DF175-DG40</f>
        <v>1416.45933806684</v>
      </c>
      <c r="DH285" s="220">
        <f>DH175-DG175-DH40</f>
        <v>1210.80349560376</v>
      </c>
      <c r="DI285" s="220">
        <f>DI175-DD175-DI40</f>
        <v>4724.4978336706</v>
      </c>
      <c r="DJ285" s="219">
        <f>DJ175-DI175-DJ40</f>
        <v>947.015892285157</v>
      </c>
      <c r="DK285" s="125">
        <f>DK175-DJ175-DK40</f>
        <v>1126.51016570439</v>
      </c>
      <c r="DL285" s="125">
        <f>DL175-DK175-DL40</f>
        <v>1422.93954277294</v>
      </c>
      <c r="DM285" s="220">
        <f>DM175-DL175-DM40</f>
        <v>1168.28467035921</v>
      </c>
      <c r="DN285" s="220">
        <f>DN175-DI175-DN40</f>
        <v>4664.75027112169</v>
      </c>
      <c r="DO285" s="219">
        <f>DO175-DN175-DO40</f>
        <v>989.897359553218</v>
      </c>
      <c r="DP285" s="125">
        <f>DP175-DO175-DP40</f>
        <v>1114.62429442812</v>
      </c>
      <c r="DQ285" s="125">
        <f>DQ175-DP175-DQ40</f>
        <v>1452.79823001898</v>
      </c>
      <c r="DR285" s="220">
        <f>DR175-DQ175-DR40</f>
        <v>1188.74468708122</v>
      </c>
      <c r="DS285" s="220">
        <f>DS175-DN175-DS40</f>
        <v>4746.06457108154</v>
      </c>
    </row>
    <row r="286" spans="1:123">
      <c r="B286" s="38" t="s">
        <v>207</v>
      </c>
      <c r="C286" s="693"/>
      <c r="D286" s="285"/>
      <c r="E286" s="285"/>
      <c r="F286" s="285"/>
      <c r="G286" s="285"/>
      <c r="H286" s="693"/>
      <c r="I286" s="285"/>
      <c r="J286" s="285"/>
      <c r="K286" s="285"/>
      <c r="L286" s="285"/>
      <c r="M286" s="530"/>
      <c r="N286" s="87"/>
      <c r="O286" s="87"/>
      <c r="P286" s="87"/>
      <c r="Q286" s="87"/>
      <c r="R286" s="530" t="e">
        <f>R285/M285-1</f>
        <v>#DIV/0!</v>
      </c>
      <c r="S286" s="87"/>
      <c r="T286" s="87"/>
      <c r="U286" s="87"/>
      <c r="V286" s="87"/>
      <c r="W286" s="530">
        <f>W285/R285-1</f>
        <v>0.335410047483849</v>
      </c>
      <c r="X286" s="87"/>
      <c r="Y286" s="87"/>
      <c r="Z286" s="87"/>
      <c r="AA286" s="87"/>
      <c r="AB286" s="530">
        <f>AB285/W285-1</f>
        <v>0.17955893353767</v>
      </c>
      <c r="AC286" s="87"/>
      <c r="AD286" s="87"/>
      <c r="AE286" s="87"/>
      <c r="AF286" s="87"/>
      <c r="AG286" s="530">
        <f>AG285/AB285-1</f>
        <v>0.487819166674177</v>
      </c>
      <c r="AH286" s="87"/>
      <c r="AI286" s="87"/>
      <c r="AJ286" s="87"/>
      <c r="AK286" s="87"/>
      <c r="AL286" s="530">
        <f t="shared" ref="AL286:BQ286" si="620">AL285/AG285-1</f>
        <v>0.448230533444796</v>
      </c>
      <c r="AM286" s="748" t="s">
        <v>208</v>
      </c>
      <c r="AN286" s="141" t="s">
        <v>208</v>
      </c>
      <c r="AO286" s="141" t="s">
        <v>208</v>
      </c>
      <c r="AP286" s="141" t="s">
        <v>208</v>
      </c>
      <c r="AQ286" s="530">
        <f t="shared" si="620"/>
        <v>0.377534288976915</v>
      </c>
      <c r="AR286" s="87">
        <f t="shared" si="620"/>
        <v>0.238842261544055</v>
      </c>
      <c r="AS286" s="87">
        <f t="shared" si="620"/>
        <v>0.230131831952302</v>
      </c>
      <c r="AT286" s="87">
        <f t="shared" si="620"/>
        <v>0.209646426890384</v>
      </c>
      <c r="AU286" s="87">
        <f t="shared" si="620"/>
        <v>0.102547176366651</v>
      </c>
      <c r="AV286" s="530">
        <f t="shared" si="620"/>
        <v>0.187234023171393</v>
      </c>
      <c r="AW286" s="87">
        <f t="shared" si="620"/>
        <v>0.101573248057134</v>
      </c>
      <c r="AX286" s="87">
        <f t="shared" si="620"/>
        <v>0.0825302220972732</v>
      </c>
      <c r="AY286" s="87">
        <f t="shared" si="620"/>
        <v>0.197867645712402</v>
      </c>
      <c r="AZ286" s="87">
        <f t="shared" si="620"/>
        <v>0.218628876514255</v>
      </c>
      <c r="BA286" s="530">
        <f t="shared" si="620"/>
        <v>0.157394050998747</v>
      </c>
      <c r="BB286" s="87">
        <f t="shared" si="620"/>
        <v>0.365738042506897</v>
      </c>
      <c r="BC286" s="87">
        <f t="shared" si="620"/>
        <v>0.480787210172027</v>
      </c>
      <c r="BD286" s="87">
        <f t="shared" si="620"/>
        <v>0.268948701976176</v>
      </c>
      <c r="BE286" s="87">
        <f t="shared" si="620"/>
        <v>0.0198001514563824</v>
      </c>
      <c r="BF286" s="530">
        <f t="shared" si="620"/>
        <v>0.258757716347774</v>
      </c>
      <c r="BG286" s="87">
        <f t="shared" si="620"/>
        <v>0.0510302783986996</v>
      </c>
      <c r="BH286" s="87">
        <f t="shared" si="620"/>
        <v>-0.118154426801079</v>
      </c>
      <c r="BI286" s="87">
        <f t="shared" si="620"/>
        <v>0.0637961462706529</v>
      </c>
      <c r="BJ286" s="87">
        <f t="shared" si="620"/>
        <v>0.0720627388477348</v>
      </c>
      <c r="BK286" s="530">
        <f t="shared" si="620"/>
        <v>0.0175097651964011</v>
      </c>
      <c r="BL286" s="87">
        <f t="shared" si="620"/>
        <v>0.0189670773299921</v>
      </c>
      <c r="BM286" s="87">
        <f t="shared" si="620"/>
        <v>0.168642207089671</v>
      </c>
      <c r="BN286" s="87">
        <f t="shared" si="620"/>
        <v>0.0656154009484038</v>
      </c>
      <c r="BO286" s="87">
        <f t="shared" si="620"/>
        <v>0.145780327680523</v>
      </c>
      <c r="BP286" s="530">
        <f t="shared" si="620"/>
        <v>0.0980203554526491</v>
      </c>
      <c r="BQ286" s="87">
        <f t="shared" si="620"/>
        <v>0.323876422616134</v>
      </c>
      <c r="BR286" s="87">
        <f t="shared" ref="BR286:CR286" si="621">BR285/BM285-1</f>
        <v>0.179461957890581</v>
      </c>
      <c r="BS286" s="87">
        <f t="shared" si="621"/>
        <v>0.180113283138772</v>
      </c>
      <c r="BT286" s="87">
        <f t="shared" si="621"/>
        <v>0.202362696989714</v>
      </c>
      <c r="BU286" s="530">
        <f t="shared" si="621"/>
        <v>0.215653708331795</v>
      </c>
      <c r="BV286" s="87">
        <f t="shared" si="621"/>
        <v>0.143047561171372</v>
      </c>
      <c r="BW286" s="87">
        <f t="shared" si="621"/>
        <v>0.295241723010507</v>
      </c>
      <c r="BX286" s="87">
        <f t="shared" si="621"/>
        <v>0.224461218783558</v>
      </c>
      <c r="BY286" s="87">
        <f t="shared" si="621"/>
        <v>0.172542344613785</v>
      </c>
      <c r="BZ286" s="530">
        <f t="shared" si="621"/>
        <v>0.20827667593866</v>
      </c>
      <c r="CA286" s="87">
        <f t="shared" si="621"/>
        <v>0.0655458560182967</v>
      </c>
      <c r="CB286" s="87">
        <f t="shared" si="621"/>
        <v>0.0256681608754934</v>
      </c>
      <c r="CC286" s="87">
        <f t="shared" si="621"/>
        <v>0.0816084515225168</v>
      </c>
      <c r="CD286" s="87">
        <f t="shared" si="621"/>
        <v>0.240505693655402</v>
      </c>
      <c r="CE286" s="530">
        <f t="shared" si="621"/>
        <v>0.105384575474398</v>
      </c>
      <c r="CF286" s="87">
        <f t="shared" si="621"/>
        <v>0.439907647989155</v>
      </c>
      <c r="CG286" s="87">
        <f t="shared" si="621"/>
        <v>0.444240982698511</v>
      </c>
      <c r="CH286" s="87">
        <f t="shared" si="621"/>
        <v>0.317536108953252</v>
      </c>
      <c r="CI286" s="87">
        <f t="shared" si="621"/>
        <v>0.54373617331247</v>
      </c>
      <c r="CJ286" s="530">
        <f t="shared" si="621"/>
        <v>0.435833922866768</v>
      </c>
      <c r="CK286" s="87">
        <f t="shared" si="621"/>
        <v>0.718878869454783</v>
      </c>
      <c r="CL286" s="87">
        <f t="shared" si="621"/>
        <v>0.503866874825156</v>
      </c>
      <c r="CM286" s="87">
        <f t="shared" si="621"/>
        <v>0.416189303979398</v>
      </c>
      <c r="CN286" s="87">
        <f t="shared" si="621"/>
        <v>-0.0312171635416733</v>
      </c>
      <c r="CO286" s="530">
        <f t="shared" si="621"/>
        <v>0.360203524884382</v>
      </c>
      <c r="CP286" s="87">
        <f t="shared" si="621"/>
        <v>-0.0653234172887965</v>
      </c>
      <c r="CQ286" s="87">
        <f t="shared" si="621"/>
        <v>-0.00879498503832454</v>
      </c>
      <c r="CR286" s="87">
        <f t="shared" si="621"/>
        <v>-0.15575437947593</v>
      </c>
      <c r="CS286" s="87">
        <f t="shared" ref="CS286:CX286" si="622">CS285/CN285-1</f>
        <v>0.0842456440218187</v>
      </c>
      <c r="CT286" s="530">
        <f t="shared" si="622"/>
        <v>-0.0430453780546542</v>
      </c>
      <c r="CU286" s="87">
        <f t="shared" si="622"/>
        <v>-0.0279215368697563</v>
      </c>
      <c r="CV286" s="87">
        <f t="shared" si="622"/>
        <v>0.0520384544755594</v>
      </c>
      <c r="CW286" s="87">
        <f t="shared" si="622"/>
        <v>0.475008875493817</v>
      </c>
      <c r="CX286" s="87">
        <f t="shared" si="622"/>
        <v>0.113418110086381</v>
      </c>
      <c r="CY286" s="530">
        <f t="shared" ref="CY286:DD286" si="623">CY285/CT285-1</f>
        <v>0.14845566188268</v>
      </c>
      <c r="CZ286" s="87">
        <f t="shared" si="623"/>
        <v>0.253332328611139</v>
      </c>
      <c r="DA286" s="87">
        <f t="shared" si="623"/>
        <v>0.0727239421139405</v>
      </c>
      <c r="DB286" s="87">
        <f t="shared" si="623"/>
        <v>0.0353894640735559</v>
      </c>
      <c r="DC286" s="87">
        <f t="shared" si="623"/>
        <v>0.256916523540416</v>
      </c>
      <c r="DD286" s="530">
        <f t="shared" si="623"/>
        <v>0.144584261577521</v>
      </c>
      <c r="DE286" s="87">
        <f t="shared" ref="DE286:DN286" si="624">DE285/CZ285-1</f>
        <v>-0.0654873641386035</v>
      </c>
      <c r="DF286" s="87">
        <f t="shared" si="624"/>
        <v>-0.125508718851028</v>
      </c>
      <c r="DG286" s="87">
        <f t="shared" si="624"/>
        <v>0.00083470390046525</v>
      </c>
      <c r="DH286" s="87">
        <f t="shared" si="624"/>
        <v>-0.100324191755106</v>
      </c>
      <c r="DI286" s="530">
        <f t="shared" si="624"/>
        <v>-0.0694568529387403</v>
      </c>
      <c r="DJ286" s="87">
        <f t="shared" si="624"/>
        <v>-0.153785213127138</v>
      </c>
      <c r="DK286" s="87">
        <f t="shared" si="624"/>
        <v>0.151715458513967</v>
      </c>
      <c r="DL286" s="87">
        <f t="shared" si="624"/>
        <v>0.00457493168489931</v>
      </c>
      <c r="DM286" s="87">
        <f t="shared" si="624"/>
        <v>-0.035116206220854</v>
      </c>
      <c r="DN286" s="530">
        <f t="shared" si="624"/>
        <v>-0.0126463308170244</v>
      </c>
      <c r="DO286" s="87">
        <f t="shared" ref="DO286" si="625">DO285/DJ285-1</f>
        <v>0.0452806205443796</v>
      </c>
      <c r="DP286" s="87">
        <f t="shared" ref="DP286" si="626">DP285/DK285-1</f>
        <v>-0.0105510554969878</v>
      </c>
      <c r="DQ286" s="87">
        <f t="shared" ref="DQ286" si="627">DQ285/DL285-1</f>
        <v>0.020983805951349</v>
      </c>
      <c r="DR286" s="87">
        <f t="shared" ref="DR286" si="628">DR285/DM285-1</f>
        <v>0.017512869287001</v>
      </c>
      <c r="DS286" s="530">
        <f t="shared" ref="DS286" si="629">DS285/DN285-1</f>
        <v>0.0174316512640014</v>
      </c>
    </row>
    <row r="287" spans="1:123">
      <c r="A287" s="132"/>
      <c r="B287" s="633" t="s">
        <v>209</v>
      </c>
      <c r="C287" s="131"/>
      <c r="D287" s="132"/>
      <c r="E287" s="132"/>
      <c r="F287" s="132"/>
      <c r="G287" s="132"/>
      <c r="H287" s="131"/>
      <c r="I287" s="132"/>
      <c r="J287" s="132"/>
      <c r="K287" s="132"/>
      <c r="L287" s="132"/>
      <c r="M287" s="60"/>
      <c r="N287" s="132"/>
      <c r="O287" s="132"/>
      <c r="P287" s="132"/>
      <c r="Q287" s="132"/>
      <c r="R287" s="60">
        <f>AVERAGE(R195,M195)</f>
        <v>5.0673205</v>
      </c>
      <c r="S287" s="132"/>
      <c r="T287" s="132"/>
      <c r="U287" s="132"/>
      <c r="V287" s="132"/>
      <c r="W287" s="60">
        <f>AVERAGE(W195,R195)</f>
        <v>5.234302</v>
      </c>
      <c r="X287" s="132"/>
      <c r="Y287" s="132"/>
      <c r="Z287" s="132"/>
      <c r="AA287" s="132"/>
      <c r="AB287" s="60">
        <f>AVERAGE(AB195,W195)</f>
        <v>8.1485</v>
      </c>
      <c r="AC287" s="132"/>
      <c r="AD287" s="132"/>
      <c r="AE287" s="132"/>
      <c r="AF287" s="132"/>
      <c r="AG287" s="60">
        <f>AVERAGE(AG195,AB195)</f>
        <v>8.8435</v>
      </c>
      <c r="AH287" s="132"/>
      <c r="AI287" s="132"/>
      <c r="AJ287" s="132"/>
      <c r="AK287" s="132"/>
      <c r="AL287" s="60">
        <f>AVERAGE(AL195,AG195)</f>
        <v>10.5975</v>
      </c>
      <c r="AM287" s="88">
        <f>AVERAGE(AM195,AL195)</f>
        <v>9.3825</v>
      </c>
      <c r="AN287" s="88">
        <f>AVERAGE(AN195,AM195)</f>
        <v>5.591</v>
      </c>
      <c r="AO287" s="88">
        <f>AVERAGE(AO195,AN195)</f>
        <v>6.761</v>
      </c>
      <c r="AP287" s="88">
        <f>AVERAGE(AP195,AO195)</f>
        <v>23.6255</v>
      </c>
      <c r="AQ287" s="60">
        <f>AVERAGE(AM195:AP195)</f>
        <v>14.60825</v>
      </c>
      <c r="AR287" s="88">
        <f>AVERAGE(AR195,AQ195)</f>
        <v>22.219</v>
      </c>
      <c r="AS287" s="88">
        <f>AVERAGE(AS195,AR195)</f>
        <v>8.2385</v>
      </c>
      <c r="AT287" s="88">
        <f>AVERAGE(AT195,AS195)</f>
        <v>8.752</v>
      </c>
      <c r="AU287" s="88">
        <f>AVERAGE(AU195,AT195)</f>
        <v>9.0995</v>
      </c>
      <c r="AV287" s="60">
        <f>AVERAGE(AR195:AU195)</f>
        <v>8.669</v>
      </c>
      <c r="AW287" s="88">
        <f>AVERAGE(AW195,AV195)</f>
        <v>10.188</v>
      </c>
      <c r="AX287" s="88">
        <f>AVERAGE(AX195,AW195)</f>
        <v>7.03</v>
      </c>
      <c r="AY287" s="88">
        <f>AVERAGE(AY195,AX195)</f>
        <v>8.3225</v>
      </c>
      <c r="AZ287" s="88">
        <f>AVERAGE(AZ195,AY195)</f>
        <v>9.442</v>
      </c>
      <c r="BA287" s="60">
        <f>AVERAGE(AW195:AZ195)</f>
        <v>8.236</v>
      </c>
      <c r="BB287" s="88">
        <f>AVERAGE(BB195,BA195)</f>
        <v>7.3285</v>
      </c>
      <c r="BC287" s="88">
        <f>AVERAGE(BC195,BB195)</f>
        <v>6.403</v>
      </c>
      <c r="BD287" s="88">
        <f>AVERAGE(BD195,BC195)</f>
        <v>6.6665</v>
      </c>
      <c r="BE287" s="88">
        <f>AVERAGE(BE195,BD195)</f>
        <v>8.113</v>
      </c>
      <c r="BF287" s="60">
        <f>AVERAGE(BB195:BE195)</f>
        <v>7.258</v>
      </c>
      <c r="BG287" s="88">
        <f>AVERAGE(BG195,BF195)</f>
        <v>8.412</v>
      </c>
      <c r="BH287" s="88">
        <f>AVERAGE(BH195,BG195)</f>
        <v>7.369</v>
      </c>
      <c r="BI287" s="88">
        <f>AVERAGE(BI195,BH195)</f>
        <v>8.7135</v>
      </c>
      <c r="BJ287" s="88">
        <f>AVERAGE(BJ195,BI195)</f>
        <v>16.989</v>
      </c>
      <c r="BK287" s="60">
        <f>AVERAGE(BG195:BJ195)</f>
        <v>12.179</v>
      </c>
      <c r="BL287" s="88">
        <f>AVERAGE(BL195,BK195)</f>
        <v>16.6895</v>
      </c>
      <c r="BM287" s="88">
        <f>AVERAGE(BM195,BL195)</f>
        <v>13.791</v>
      </c>
      <c r="BN287" s="88">
        <f>AVERAGE(BN195,BM195)</f>
        <v>16.581</v>
      </c>
      <c r="BO287" s="88">
        <f>AVERAGE(BO195,BN195)</f>
        <v>19.3795</v>
      </c>
      <c r="BP287" s="60">
        <f>AVERAGE(BL195:BO195)</f>
        <v>16.58525</v>
      </c>
      <c r="BQ287" s="88">
        <f>AVERAGE(BQ195,BP195)</f>
        <v>20.4505</v>
      </c>
      <c r="BR287" s="88">
        <f>AVERAGE(BR195,BQ195)</f>
        <v>63.389</v>
      </c>
      <c r="BS287" s="88">
        <f>AVERAGE(BS195,BR195)</f>
        <v>131.8315</v>
      </c>
      <c r="BT287" s="88">
        <f>AVERAGE(BT195,BS195)</f>
        <v>124.3365</v>
      </c>
      <c r="BU287" s="60">
        <f>AVERAGE(BQ195:BT195)</f>
        <v>93.86275</v>
      </c>
      <c r="BV287" s="88">
        <f>AVERAGE(BV195,BU195)</f>
        <v>91.8955</v>
      </c>
      <c r="BW287" s="88">
        <f>AVERAGE(BW195,BV195)</f>
        <v>99.3855</v>
      </c>
      <c r="BX287" s="88">
        <f>AVERAGE(BX195,BW195)</f>
        <v>113.397</v>
      </c>
      <c r="BY287" s="88">
        <f>AVERAGE(BY195,BX195)</f>
        <v>98.139</v>
      </c>
      <c r="BZ287" s="60">
        <f>AVERAGE(BV195:BY195)</f>
        <v>98.76225</v>
      </c>
      <c r="CA287" s="88">
        <f>AVERAGE(CA195,BZ195)</f>
        <v>79.4685</v>
      </c>
      <c r="CB287" s="88">
        <f>AVERAGE(CB195,CA195)</f>
        <v>100.8535</v>
      </c>
      <c r="CC287" s="88">
        <f>AVERAGE(CC195,CB195)</f>
        <v>141.773</v>
      </c>
      <c r="CD287" s="88">
        <f>AVERAGE(CD195,CC195)</f>
        <v>166.5125</v>
      </c>
      <c r="CE287" s="60">
        <f>AVERAGE(CA195:CD195)</f>
        <v>133.683</v>
      </c>
      <c r="CF287" s="88">
        <f>AVERAGE(CF195,CE195)</f>
        <v>184.59</v>
      </c>
      <c r="CG287" s="88">
        <f>AVERAGE(CG195,CF195)</f>
        <v>200.24</v>
      </c>
      <c r="CH287" s="88">
        <f>AVERAGE(CH195,CG195)</f>
        <v>215.3065</v>
      </c>
      <c r="CI287" s="88">
        <f>AVERAGE(CI195,CH195)</f>
        <v>258.3975</v>
      </c>
      <c r="CJ287" s="60">
        <f>AVERAGE(CF195:CI195)</f>
        <v>229.31875</v>
      </c>
      <c r="CK287" s="88">
        <f>AVERAGE(CK195,CJ195)</f>
        <v>298.907</v>
      </c>
      <c r="CL287" s="88">
        <f>AVERAGE(CL195,CK195)</f>
        <v>284.0065</v>
      </c>
      <c r="CM287" s="88">
        <f>AVERAGE(CM195,CL195)</f>
        <v>280.3985</v>
      </c>
      <c r="CN287" s="88">
        <f>AVERAGE(CN195,CM195)</f>
        <v>236.801</v>
      </c>
      <c r="CO287" s="60">
        <f>AVERAGE(CK195:CN195)</f>
        <v>260.40375</v>
      </c>
      <c r="CP287" s="88">
        <f>AVERAGE(CP195,CO195)</f>
        <v>230.098</v>
      </c>
      <c r="CQ287" s="88">
        <f>AVERAGE(CQ195,CP195)</f>
        <v>293.189</v>
      </c>
      <c r="CR287" s="88">
        <f>AVERAGE(CR195,CQ195)</f>
        <v>304.119</v>
      </c>
      <c r="CS287" s="88">
        <f>AVERAGE(CS195,CR195)</f>
        <v>328.8825</v>
      </c>
      <c r="CT287" s="60">
        <f>AVERAGE(CP195:CS195)</f>
        <v>311.03575</v>
      </c>
      <c r="CU287" s="88">
        <f>AVERAGE(CU195,CT195)</f>
        <v>305.023</v>
      </c>
      <c r="CV287" s="88">
        <f>AVERAGE(CV195,CU195)</f>
        <v>289.4765</v>
      </c>
      <c r="CW287" s="88">
        <f>AVERAGE(CW195,CV195)</f>
        <v>351.654</v>
      </c>
      <c r="CX287" s="88">
        <f>AVERAGE(CX195,CW195)</f>
        <v>328.683</v>
      </c>
      <c r="CY287" s="60">
        <f>AVERAGE(CU195:CX195)</f>
        <v>309.07975</v>
      </c>
      <c r="CZ287" s="88">
        <f>AVERAGE(CZ195,CY195)</f>
        <v>287.6905</v>
      </c>
      <c r="DA287" s="88">
        <f>AVERAGE(DA195,CZ195)</f>
        <v>338.654</v>
      </c>
      <c r="DB287" s="88">
        <f>AVERAGE(DB195,DA195)</f>
        <v>362.7465</v>
      </c>
      <c r="DC287" s="88">
        <f>AVERAGE(DC195,DB195)</f>
        <v>341.7905</v>
      </c>
      <c r="DD287" s="60">
        <f>AVERAGE(CZ195:DC195)</f>
        <v>340.22225</v>
      </c>
      <c r="DE287" s="88">
        <f>AVERAGE(DE195,DD195)</f>
        <v>312.872</v>
      </c>
      <c r="DF287" s="88">
        <f>AVERAGE(DF195,DE195)</f>
        <v>320.52</v>
      </c>
      <c r="DG287" s="88">
        <f>AVERAGE(DG195,DF195)</f>
        <v>357.507304674227</v>
      </c>
      <c r="DH287" s="88">
        <f>AVERAGE(DH195,DG195)</f>
        <v>343.927837111819</v>
      </c>
      <c r="DI287" s="60">
        <f>AVERAGE(DE195:DH195)</f>
        <v>332.22391855591</v>
      </c>
      <c r="DJ287" s="88">
        <f>AVERAGE(DJ195,DI195)</f>
        <v>295.808724277283</v>
      </c>
      <c r="DK287" s="88">
        <f>AVERAGE(DK195,DJ195)</f>
        <v>302.481797610215</v>
      </c>
      <c r="DL287" s="88">
        <f>AVERAGE(DL195,DK195)</f>
        <v>345.167278576293</v>
      </c>
      <c r="DM287" s="88">
        <f>AVERAGE(DM195,DL195)</f>
        <v>338.960599278657</v>
      </c>
      <c r="DN287" s="60">
        <f>AVERAGE(DJ195:DM195)</f>
        <v>320.721198444436</v>
      </c>
      <c r="DO287" s="88">
        <f>AVERAGE(DO195,DN195)</f>
        <v>298.877899098642</v>
      </c>
      <c r="DP287" s="88">
        <f>AVERAGE(DP195,DO195)</f>
        <v>305.611123221428</v>
      </c>
      <c r="DQ287" s="88">
        <f>AVERAGE(DQ195,DP195)</f>
        <v>347.059925743794</v>
      </c>
      <c r="DR287" s="88">
        <f>AVERAGE(DR195,DQ195)</f>
        <v>342.477925726593</v>
      </c>
      <c r="DS287" s="60">
        <f>AVERAGE(DO195:DR195)</f>
        <v>324.04452447401</v>
      </c>
    </row>
    <row r="288" spans="1:123">
      <c r="A288" s="132"/>
      <c r="B288" s="633" t="s">
        <v>210</v>
      </c>
      <c r="C288" s="131"/>
      <c r="D288" s="132"/>
      <c r="E288" s="132"/>
      <c r="F288" s="132"/>
      <c r="G288" s="132"/>
      <c r="H288" s="131"/>
      <c r="I288" s="132"/>
      <c r="J288" s="132"/>
      <c r="K288" s="132"/>
      <c r="L288" s="132"/>
      <c r="M288" s="689"/>
      <c r="N288" s="190"/>
      <c r="O288" s="190"/>
      <c r="P288" s="190"/>
      <c r="Q288" s="190"/>
      <c r="R288" s="689">
        <f>R285/R287</f>
        <v>27.8007420292441</v>
      </c>
      <c r="S288" s="190"/>
      <c r="T288" s="190"/>
      <c r="U288" s="190"/>
      <c r="V288" s="190"/>
      <c r="W288" s="689">
        <f>W285/W287</f>
        <v>35.9410387478598</v>
      </c>
      <c r="X288" s="190"/>
      <c r="Y288" s="190"/>
      <c r="Z288" s="190"/>
      <c r="AA288" s="190"/>
      <c r="AB288" s="689">
        <f>AB285/AB287</f>
        <v>27.2327422224949</v>
      </c>
      <c r="AC288" s="190"/>
      <c r="AD288" s="190"/>
      <c r="AE288" s="190"/>
      <c r="AF288" s="190"/>
      <c r="AG288" s="689">
        <f>AG285/AG287</f>
        <v>37.3331825634647</v>
      </c>
      <c r="AH288" s="132"/>
      <c r="AI288" s="132"/>
      <c r="AJ288" s="132"/>
      <c r="AK288" s="132"/>
      <c r="AL288" s="689">
        <f t="shared" ref="AL288:BZ288" si="630">AL285/AL287</f>
        <v>45.1183769757018</v>
      </c>
      <c r="AM288" s="690">
        <f t="shared" si="630"/>
        <v>14.0704503064215</v>
      </c>
      <c r="AN288" s="690">
        <f t="shared" si="630"/>
        <v>25.8590592022894</v>
      </c>
      <c r="AO288" s="690">
        <f t="shared" si="630"/>
        <v>26.7098062416802</v>
      </c>
      <c r="AP288" s="690">
        <f t="shared" si="630"/>
        <v>8.52798882563332</v>
      </c>
      <c r="AQ288" s="689">
        <f t="shared" si="630"/>
        <v>45.0880153338011</v>
      </c>
      <c r="AR288" s="690">
        <f t="shared" si="630"/>
        <v>7.36068229893334</v>
      </c>
      <c r="AS288" s="690">
        <f t="shared" si="630"/>
        <v>21.5876676579474</v>
      </c>
      <c r="AT288" s="690">
        <f t="shared" si="630"/>
        <v>24.959323583181</v>
      </c>
      <c r="AU288" s="690">
        <f t="shared" si="630"/>
        <v>24.4122204516732</v>
      </c>
      <c r="AV288" s="689">
        <f t="shared" si="630"/>
        <v>90.2041757988234</v>
      </c>
      <c r="AW288" s="690">
        <f t="shared" si="630"/>
        <v>17.6834511189635</v>
      </c>
      <c r="AX288" s="690">
        <f t="shared" si="630"/>
        <v>27.3866287339972</v>
      </c>
      <c r="AY288" s="690">
        <f t="shared" si="630"/>
        <v>31.4409131871433</v>
      </c>
      <c r="AZ288" s="690">
        <f t="shared" si="630"/>
        <v>28.6703029019276</v>
      </c>
      <c r="BA288" s="689">
        <f t="shared" si="630"/>
        <v>109.890602234094</v>
      </c>
      <c r="BB288" s="690">
        <f t="shared" si="630"/>
        <v>33.5744013099543</v>
      </c>
      <c r="BC288" s="690">
        <f t="shared" si="630"/>
        <v>44.5249101983445</v>
      </c>
      <c r="BD288" s="690">
        <f t="shared" si="630"/>
        <v>49.8075451886297</v>
      </c>
      <c r="BE288" s="690">
        <f t="shared" si="630"/>
        <v>34.027486749661</v>
      </c>
      <c r="BF288" s="689">
        <f t="shared" si="630"/>
        <v>156.964728575365</v>
      </c>
      <c r="BG288" s="690">
        <f t="shared" si="630"/>
        <v>30.7425106990014</v>
      </c>
      <c r="BH288" s="690">
        <f t="shared" si="630"/>
        <v>34.1169765232732</v>
      </c>
      <c r="BI288" s="690">
        <f t="shared" si="630"/>
        <v>40.5376714293912</v>
      </c>
      <c r="BJ288" s="690">
        <f t="shared" si="630"/>
        <v>17.4206251103655</v>
      </c>
      <c r="BK288" s="689">
        <f t="shared" si="630"/>
        <v>95.180064044667</v>
      </c>
      <c r="BL288" s="690">
        <f t="shared" si="630"/>
        <v>15.7890290302286</v>
      </c>
      <c r="BM288" s="690">
        <f t="shared" si="630"/>
        <v>21.3041838880429</v>
      </c>
      <c r="BN288" s="690">
        <f t="shared" si="630"/>
        <v>22.7008021229118</v>
      </c>
      <c r="BO288" s="690">
        <f t="shared" si="630"/>
        <v>17.498077865786</v>
      </c>
      <c r="BP288" s="689">
        <f t="shared" si="630"/>
        <v>76.7442757872206</v>
      </c>
      <c r="BQ288" s="690">
        <f t="shared" si="630"/>
        <v>17.058556025525</v>
      </c>
      <c r="BR288" s="690">
        <f t="shared" si="630"/>
        <v>5.46676868226348</v>
      </c>
      <c r="BS288" s="690">
        <f t="shared" si="630"/>
        <v>3.36942991621881</v>
      </c>
      <c r="BT288" s="690">
        <f t="shared" si="630"/>
        <v>3.2792140682744</v>
      </c>
      <c r="BU288" s="689">
        <f t="shared" si="630"/>
        <v>16.4848355710865</v>
      </c>
      <c r="BV288" s="690">
        <f t="shared" si="630"/>
        <v>4.33926579647534</v>
      </c>
      <c r="BW288" s="690">
        <f t="shared" si="630"/>
        <v>4.51619199983901</v>
      </c>
      <c r="BX288" s="690">
        <f t="shared" si="630"/>
        <v>4.79644082294946</v>
      </c>
      <c r="BY288" s="690">
        <f t="shared" si="630"/>
        <v>4.87141707170442</v>
      </c>
      <c r="BZ288" s="689">
        <f t="shared" si="630"/>
        <v>18.9301175297242</v>
      </c>
      <c r="CA288" s="690">
        <f t="shared" ref="CA288:CP288" si="631">CA285/CA287</f>
        <v>5.34672228618887</v>
      </c>
      <c r="CB288" s="690">
        <f t="shared" si="631"/>
        <v>4.56469036771158</v>
      </c>
      <c r="CC288" s="690">
        <f t="shared" si="631"/>
        <v>4.14951365915936</v>
      </c>
      <c r="CD288" s="690">
        <f t="shared" si="631"/>
        <v>3.5616305082201</v>
      </c>
      <c r="CE288" s="689">
        <f t="shared" si="631"/>
        <v>15.4590037626325</v>
      </c>
      <c r="CF288" s="690">
        <f t="shared" si="631"/>
        <v>3.31443198439785</v>
      </c>
      <c r="CG288" s="690">
        <f t="shared" si="631"/>
        <v>3.32040551338394</v>
      </c>
      <c r="CH288" s="690">
        <f t="shared" si="631"/>
        <v>3.59994705222555</v>
      </c>
      <c r="CI288" s="690">
        <f t="shared" si="631"/>
        <v>3.54307607465242</v>
      </c>
      <c r="CJ288" s="689">
        <f t="shared" si="631"/>
        <v>12.9396440544003</v>
      </c>
      <c r="CK288" s="690">
        <f t="shared" si="631"/>
        <v>3.51824815076261</v>
      </c>
      <c r="CL288" s="690">
        <f t="shared" si="631"/>
        <v>3.52065181606759</v>
      </c>
      <c r="CM288" s="690">
        <f t="shared" si="631"/>
        <v>3.91470353800038</v>
      </c>
      <c r="CN288" s="690">
        <f t="shared" si="631"/>
        <v>3.74551627738059</v>
      </c>
      <c r="CO288" s="689">
        <f t="shared" si="631"/>
        <v>15.4995310167384</v>
      </c>
      <c r="CP288" s="690">
        <f t="shared" si="631"/>
        <v>4.27180158019626</v>
      </c>
      <c r="CQ288" s="690">
        <f t="shared" ref="CQ288:DI288" si="632">CQ285/CQ287</f>
        <v>3.38039285239214</v>
      </c>
      <c r="CR288" s="690">
        <f t="shared" si="632"/>
        <v>3.04719205311079</v>
      </c>
      <c r="CS288" s="690">
        <f t="shared" si="632"/>
        <v>2.92403213913784</v>
      </c>
      <c r="CT288" s="689">
        <f t="shared" si="632"/>
        <v>12.4178619338774</v>
      </c>
      <c r="CU288" s="690">
        <f t="shared" si="632"/>
        <v>3.13251131881858</v>
      </c>
      <c r="CV288" s="690">
        <f t="shared" si="632"/>
        <v>3.60191241776103</v>
      </c>
      <c r="CW288" s="690">
        <f t="shared" si="632"/>
        <v>3.88707081392505</v>
      </c>
      <c r="CX288" s="690">
        <f t="shared" si="632"/>
        <v>3.25764642527907</v>
      </c>
      <c r="CY288" s="689">
        <f t="shared" si="632"/>
        <v>14.3516163708557</v>
      </c>
      <c r="CZ288" s="690">
        <f t="shared" si="632"/>
        <v>4.162612251708</v>
      </c>
      <c r="DA288" s="690">
        <f t="shared" si="632"/>
        <v>3.30276919806056</v>
      </c>
      <c r="DB288" s="690">
        <f t="shared" si="632"/>
        <v>3.90156211017887</v>
      </c>
      <c r="DC288" s="690">
        <f t="shared" si="632"/>
        <v>3.93756409262399</v>
      </c>
      <c r="DD288" s="689">
        <f t="shared" si="632"/>
        <v>14.9230098854499</v>
      </c>
      <c r="DE288" s="690">
        <f t="shared" si="632"/>
        <v>3.57692602725715</v>
      </c>
      <c r="DF288" s="690">
        <f t="shared" si="632"/>
        <v>3.05165044303008</v>
      </c>
      <c r="DG288" s="690">
        <f t="shared" si="632"/>
        <v>3.96204306750478</v>
      </c>
      <c r="DH288" s="690">
        <f t="shared" si="632"/>
        <v>3.52051612271821</v>
      </c>
      <c r="DI288" s="689">
        <f t="shared" si="632"/>
        <v>14.2208238774823</v>
      </c>
      <c r="DJ288" s="690">
        <f t="shared" ref="DJ288:DN288" si="633">DJ285/DJ287</f>
        <v>3.20144679504939</v>
      </c>
      <c r="DK288" s="690">
        <f t="shared" si="633"/>
        <v>3.724224646258</v>
      </c>
      <c r="DL288" s="690">
        <f t="shared" si="633"/>
        <v>4.12246360269756</v>
      </c>
      <c r="DM288" s="690">
        <f t="shared" si="633"/>
        <v>3.4466680577195</v>
      </c>
      <c r="DN288" s="689">
        <f t="shared" si="633"/>
        <v>14.5445648549166</v>
      </c>
      <c r="DO288" s="690">
        <f t="shared" ref="DO288:DS288" si="634">DO285/DO287</f>
        <v>3.31204603130094</v>
      </c>
      <c r="DP288" s="690">
        <f t="shared" si="634"/>
        <v>3.64719805574789</v>
      </c>
      <c r="DQ288" s="690">
        <f t="shared" si="634"/>
        <v>4.18601550411057</v>
      </c>
      <c r="DR288" s="690">
        <f t="shared" si="634"/>
        <v>3.47101111570681</v>
      </c>
      <c r="DS288" s="689">
        <f t="shared" si="634"/>
        <v>14.6463347244807</v>
      </c>
    </row>
    <row r="289" spans="1:123">
      <c r="A289" s="132"/>
      <c r="B289" s="633" t="s">
        <v>211</v>
      </c>
      <c r="C289" s="131"/>
      <c r="D289" s="132"/>
      <c r="E289" s="132"/>
      <c r="F289" s="132"/>
      <c r="G289" s="132"/>
      <c r="H289" s="131"/>
      <c r="I289" s="132"/>
      <c r="J289" s="132"/>
      <c r="K289" s="132"/>
      <c r="L289" s="132"/>
      <c r="M289" s="691"/>
      <c r="N289" s="190"/>
      <c r="O289" s="190"/>
      <c r="P289" s="190"/>
      <c r="Q289" s="190"/>
      <c r="R289" s="691">
        <f>+R269/R288</f>
        <v>13.1291459636599</v>
      </c>
      <c r="S289" s="190"/>
      <c r="T289" s="190"/>
      <c r="U289" s="190"/>
      <c r="V289" s="190"/>
      <c r="W289" s="691">
        <f>+W269/W288</f>
        <v>10.1833450771312</v>
      </c>
      <c r="X289" s="190"/>
      <c r="Y289" s="190"/>
      <c r="Z289" s="190"/>
      <c r="AA289" s="190"/>
      <c r="AB289" s="691">
        <f>+AB269/AB288</f>
        <v>13.4029836957991</v>
      </c>
      <c r="AC289" s="190"/>
      <c r="AD289" s="190"/>
      <c r="AE289" s="190"/>
      <c r="AF289" s="190"/>
      <c r="AG289" s="691">
        <f>+AG269/AG288</f>
        <v>9.77682519778529</v>
      </c>
      <c r="AH289" s="132"/>
      <c r="AI289" s="132"/>
      <c r="AJ289" s="132"/>
      <c r="AK289" s="132"/>
      <c r="AL289" s="691">
        <f t="shared" ref="AL289:BZ289" si="635">+AL269/AL288</f>
        <v>8.08983000865852</v>
      </c>
      <c r="AM289" s="692">
        <f t="shared" si="635"/>
        <v>6.39638377166404</v>
      </c>
      <c r="AN289" s="692">
        <f t="shared" si="635"/>
        <v>3.55774737511931</v>
      </c>
      <c r="AO289" s="692">
        <f t="shared" si="635"/>
        <v>3.44442783176897</v>
      </c>
      <c r="AP289" s="692">
        <f t="shared" si="635"/>
        <v>10.7880066309969</v>
      </c>
      <c r="AQ289" s="691">
        <f t="shared" si="635"/>
        <v>8.11745643028162</v>
      </c>
      <c r="AR289" s="692">
        <f t="shared" si="635"/>
        <v>12.0912703993347</v>
      </c>
      <c r="AS289" s="692">
        <f t="shared" si="635"/>
        <v>4.26169243744729</v>
      </c>
      <c r="AT289" s="692">
        <f t="shared" si="635"/>
        <v>3.68599732654593</v>
      </c>
      <c r="AU289" s="692">
        <f t="shared" si="635"/>
        <v>3.7686043423262</v>
      </c>
      <c r="AV289" s="691">
        <f t="shared" si="635"/>
        <v>4.04637586639044</v>
      </c>
      <c r="AW289" s="692">
        <f t="shared" si="635"/>
        <v>5.032954223769</v>
      </c>
      <c r="AX289" s="692">
        <f t="shared" si="635"/>
        <v>3.35930358181667</v>
      </c>
      <c r="AY289" s="692">
        <f t="shared" si="635"/>
        <v>2.92612366098897</v>
      </c>
      <c r="AZ289" s="692">
        <f t="shared" si="635"/>
        <v>3.20889529192294</v>
      </c>
      <c r="BA289" s="691">
        <f t="shared" si="635"/>
        <v>3.32148511864972</v>
      </c>
      <c r="BB289" s="692">
        <f t="shared" si="635"/>
        <v>2.65082909977647</v>
      </c>
      <c r="BC289" s="692">
        <f t="shared" si="635"/>
        <v>2.06625908037026</v>
      </c>
      <c r="BD289" s="692">
        <f t="shared" si="635"/>
        <v>1.84710970298938</v>
      </c>
      <c r="BE289" s="692">
        <f t="shared" si="635"/>
        <v>2.70369659319363</v>
      </c>
      <c r="BF289" s="691">
        <f t="shared" si="635"/>
        <v>2.32536317752908</v>
      </c>
      <c r="BG289" s="692">
        <f t="shared" si="635"/>
        <v>2.92754228440175</v>
      </c>
      <c r="BH289" s="692">
        <f t="shared" si="635"/>
        <v>2.69660472220454</v>
      </c>
      <c r="BI289" s="692">
        <f t="shared" si="635"/>
        <v>2.26949394861632</v>
      </c>
      <c r="BJ289" s="692">
        <f t="shared" si="635"/>
        <v>5.28109636807801</v>
      </c>
      <c r="BK289" s="691">
        <f t="shared" si="635"/>
        <v>3.84534307340075</v>
      </c>
      <c r="BL289" s="692">
        <f t="shared" si="635"/>
        <v>5.63682540766799</v>
      </c>
      <c r="BM289" s="692">
        <f t="shared" si="635"/>
        <v>4.31840057725166</v>
      </c>
      <c r="BN289" s="692">
        <f t="shared" si="635"/>
        <v>4.0527202299669</v>
      </c>
      <c r="BO289" s="692">
        <f t="shared" si="635"/>
        <v>5.25772034538077</v>
      </c>
      <c r="BP289" s="691">
        <f t="shared" si="635"/>
        <v>4.75605504457415</v>
      </c>
      <c r="BQ289" s="692">
        <f t="shared" si="635"/>
        <v>5.21732319352397</v>
      </c>
      <c r="BR289" s="692">
        <f t="shared" si="635"/>
        <v>16.8289542410102</v>
      </c>
      <c r="BS289" s="692">
        <f t="shared" si="635"/>
        <v>27.3043221813745</v>
      </c>
      <c r="BT289" s="692">
        <f t="shared" si="635"/>
        <v>28.0555029603214</v>
      </c>
      <c r="BU289" s="691">
        <f t="shared" si="635"/>
        <v>22.1415614627173</v>
      </c>
      <c r="BV289" s="692">
        <f t="shared" si="635"/>
        <v>20.510382210809</v>
      </c>
      <c r="BW289" s="692">
        <f t="shared" si="635"/>
        <v>20.3711445401966</v>
      </c>
      <c r="BX289" s="692">
        <f t="shared" si="635"/>
        <v>19.1808892043052</v>
      </c>
      <c r="BY289" s="692">
        <f t="shared" si="635"/>
        <v>18.8856750809495</v>
      </c>
      <c r="BZ289" s="691">
        <f t="shared" si="635"/>
        <v>19.2814439438569</v>
      </c>
      <c r="CA289" s="692">
        <f t="shared" ref="CA289:CP289" si="636">+CA269/CA288</f>
        <v>16.8327426005423</v>
      </c>
      <c r="CB289" s="692">
        <f t="shared" si="636"/>
        <v>20.1547076776036</v>
      </c>
      <c r="CC289" s="692">
        <f t="shared" si="636"/>
        <v>22.1712729627785</v>
      </c>
      <c r="CD289" s="692">
        <f t="shared" si="636"/>
        <v>25.8308658878757</v>
      </c>
      <c r="CE289" s="691">
        <f t="shared" si="636"/>
        <v>23.6755230556768</v>
      </c>
      <c r="CF289" s="692">
        <f t="shared" si="636"/>
        <v>26.8522631989291</v>
      </c>
      <c r="CG289" s="692">
        <f t="shared" si="636"/>
        <v>27.7074591127996</v>
      </c>
      <c r="CH289" s="692">
        <f t="shared" si="636"/>
        <v>25.5559314249147</v>
      </c>
      <c r="CI289" s="692">
        <f t="shared" si="636"/>
        <v>25.9661373511505</v>
      </c>
      <c r="CJ289" s="691">
        <f t="shared" si="636"/>
        <v>28.2078856625023</v>
      </c>
      <c r="CK289" s="692">
        <f t="shared" si="636"/>
        <v>25.2966806735075</v>
      </c>
      <c r="CL289" s="692">
        <f t="shared" si="636"/>
        <v>26.1315247307698</v>
      </c>
      <c r="CM289" s="692">
        <f t="shared" si="636"/>
        <v>23.5011410460454</v>
      </c>
      <c r="CN289" s="692">
        <f t="shared" si="636"/>
        <v>24.5627019579634</v>
      </c>
      <c r="CO289" s="691">
        <f t="shared" si="636"/>
        <v>23.5490996215192</v>
      </c>
      <c r="CP289" s="692">
        <f t="shared" si="636"/>
        <v>20.8343010154303</v>
      </c>
      <c r="CQ289" s="692">
        <f t="shared" ref="CQ289:DI289" si="637">+CQ269/CQ288</f>
        <v>27.2157716624256</v>
      </c>
      <c r="CR289" s="692">
        <f t="shared" si="637"/>
        <v>30.1917300900283</v>
      </c>
      <c r="CS289" s="692">
        <f t="shared" si="637"/>
        <v>31.4634024601134</v>
      </c>
      <c r="CT289" s="691">
        <f t="shared" si="637"/>
        <v>29.3931436783201</v>
      </c>
      <c r="CU289" s="692">
        <f t="shared" si="637"/>
        <v>28.7309416758766</v>
      </c>
      <c r="CV289" s="692">
        <f t="shared" si="637"/>
        <v>25.5419869584691</v>
      </c>
      <c r="CW289" s="692">
        <f t="shared" si="637"/>
        <v>23.6682078624395</v>
      </c>
      <c r="CX289" s="692">
        <f t="shared" si="637"/>
        <v>28.2412478180835</v>
      </c>
      <c r="CY289" s="691">
        <f t="shared" si="637"/>
        <v>25.5023539190503</v>
      </c>
      <c r="CZ289" s="692">
        <f t="shared" si="637"/>
        <v>21.3808047971515</v>
      </c>
      <c r="DA289" s="692">
        <f t="shared" si="637"/>
        <v>27.8554129831488</v>
      </c>
      <c r="DB289" s="692">
        <f t="shared" si="637"/>
        <v>23.5802987116312</v>
      </c>
      <c r="DC289" s="692">
        <f t="shared" si="637"/>
        <v>23.3646990463821</v>
      </c>
      <c r="DD289" s="691">
        <f t="shared" si="637"/>
        <v>24.4588727610426</v>
      </c>
      <c r="DE289" s="692">
        <f t="shared" si="637"/>
        <v>24.8816999070698</v>
      </c>
      <c r="DF289" s="692">
        <f t="shared" si="637"/>
        <v>30.1476206785501</v>
      </c>
      <c r="DG289" s="692">
        <f t="shared" si="637"/>
        <v>23.220343250317</v>
      </c>
      <c r="DH289" s="692">
        <f t="shared" si="637"/>
        <v>26.1325319336889</v>
      </c>
      <c r="DI289" s="691">
        <f t="shared" si="637"/>
        <v>25.6665860673483</v>
      </c>
      <c r="DJ289" s="692">
        <f t="shared" ref="DJ289:DN289" si="638">+DJ269/DJ288</f>
        <v>27.7999309992053</v>
      </c>
      <c r="DK289" s="692">
        <f t="shared" si="638"/>
        <v>24.7031285001669</v>
      </c>
      <c r="DL289" s="692">
        <f t="shared" si="638"/>
        <v>22.316752521429</v>
      </c>
      <c r="DM289" s="692">
        <f t="shared" si="638"/>
        <v>26.6924457067885</v>
      </c>
      <c r="DN289" s="691">
        <f t="shared" si="638"/>
        <v>25.0952849838347</v>
      </c>
      <c r="DO289" s="692">
        <f t="shared" ref="DO289:DS289" si="639">+DO269/DO288</f>
        <v>27.173535376454</v>
      </c>
      <c r="DP289" s="692">
        <f t="shared" si="639"/>
        <v>25.2248434534588</v>
      </c>
      <c r="DQ289" s="692">
        <f t="shared" si="639"/>
        <v>21.9779405761059</v>
      </c>
      <c r="DR289" s="692">
        <f t="shared" si="639"/>
        <v>26.5052449943727</v>
      </c>
      <c r="DS289" s="691">
        <f t="shared" si="639"/>
        <v>24.9891871847123</v>
      </c>
    </row>
    <row r="290" spans="1:123">
      <c r="B290" s="38" t="s">
        <v>212</v>
      </c>
      <c r="C290" s="693"/>
      <c r="D290" s="285"/>
      <c r="E290" s="285"/>
      <c r="F290" s="285"/>
      <c r="G290" s="285"/>
      <c r="H290" s="693"/>
      <c r="I290" s="285"/>
      <c r="J290" s="285"/>
      <c r="K290" s="285"/>
      <c r="L290" s="285"/>
      <c r="M290" s="530"/>
      <c r="N290" s="87"/>
      <c r="O290" s="87"/>
      <c r="P290" s="87"/>
      <c r="Q290" s="87"/>
      <c r="R290" s="530">
        <f>R195/M195-1</f>
        <v>0.0536099324078014</v>
      </c>
      <c r="S290" s="87"/>
      <c r="T290" s="87"/>
      <c r="U290" s="87"/>
      <c r="V290" s="87"/>
      <c r="W290" s="530">
        <f>W195/R195-1</f>
        <v>0.0133464009951527</v>
      </c>
      <c r="X290" s="87"/>
      <c r="Y290" s="87"/>
      <c r="Z290" s="87"/>
      <c r="AA290" s="87"/>
      <c r="AB290" s="530">
        <f>AB195/W195-1</f>
        <v>1.09299677358132</v>
      </c>
      <c r="AC290" s="87"/>
      <c r="AD290" s="87"/>
      <c r="AE290" s="87"/>
      <c r="AF290" s="87"/>
      <c r="AG290" s="530">
        <f>AG195/AB195-1</f>
        <v>-0.396173376858905</v>
      </c>
      <c r="AH290" s="87"/>
      <c r="AI290" s="87"/>
      <c r="AJ290" s="87"/>
      <c r="AK290" s="87"/>
      <c r="AL290" s="530">
        <f t="shared" ref="AL290:CW290" si="640">AL195/AG195-1</f>
        <v>1.18291034689893</v>
      </c>
      <c r="AM290" s="87">
        <f t="shared" si="640"/>
        <v>0.240539747726606</v>
      </c>
      <c r="AN290" s="87">
        <f t="shared" si="640"/>
        <v>0.564229471316085</v>
      </c>
      <c r="AO290" s="87">
        <f t="shared" si="640"/>
        <v>0.0875827814569536</v>
      </c>
      <c r="AP290" s="87">
        <f t="shared" si="640"/>
        <v>1.79870665932856</v>
      </c>
      <c r="AQ290" s="530">
        <f t="shared" si="640"/>
        <v>1.79870665932856</v>
      </c>
      <c r="AR290" s="87">
        <f t="shared" si="640"/>
        <v>-0.111846772286593</v>
      </c>
      <c r="AS290" s="87">
        <f t="shared" si="640"/>
        <v>0.82956996979721</v>
      </c>
      <c r="AT290" s="87">
        <f t="shared" si="640"/>
        <v>-0.271883087227888</v>
      </c>
      <c r="AU290" s="87">
        <f t="shared" si="640"/>
        <v>-0.670222702915294</v>
      </c>
      <c r="AV290" s="530">
        <f t="shared" si="640"/>
        <v>-0.670222702915294</v>
      </c>
      <c r="AW290" s="87">
        <f t="shared" si="640"/>
        <v>0.853035143769968</v>
      </c>
      <c r="AX290" s="87">
        <f t="shared" si="640"/>
        <v>-0.441867777690433</v>
      </c>
      <c r="AY290" s="87">
        <f t="shared" si="640"/>
        <v>0.995609450135898</v>
      </c>
      <c r="AZ290" s="87">
        <f t="shared" si="640"/>
        <v>-0.303890876565295</v>
      </c>
      <c r="BA290" s="530">
        <f t="shared" si="640"/>
        <v>-0.303890876565295</v>
      </c>
      <c r="BB290" s="87">
        <f t="shared" si="640"/>
        <v>-0.235919540229885</v>
      </c>
      <c r="BC290" s="87">
        <f t="shared" si="640"/>
        <v>0.0546478873239438</v>
      </c>
      <c r="BD290" s="87">
        <f t="shared" si="640"/>
        <v>-0.387637506547931</v>
      </c>
      <c r="BE290" s="87">
        <f t="shared" si="640"/>
        <v>0.111575115108684</v>
      </c>
      <c r="BF290" s="530">
        <f t="shared" si="640"/>
        <v>0.111575115108684</v>
      </c>
      <c r="BG290" s="87">
        <f t="shared" si="640"/>
        <v>0.211545693869876</v>
      </c>
      <c r="BH290" s="87">
        <f t="shared" si="640"/>
        <v>0.107772435897436</v>
      </c>
      <c r="BI290" s="87">
        <f t="shared" si="640"/>
        <v>0.562360992301112</v>
      </c>
      <c r="BJ290" s="87">
        <f t="shared" si="640"/>
        <v>1.3934110393989</v>
      </c>
      <c r="BK290" s="530">
        <f t="shared" si="640"/>
        <v>1.3934110393989</v>
      </c>
      <c r="BL290" s="87">
        <f t="shared" si="640"/>
        <v>0.324383051373584</v>
      </c>
      <c r="BM290" s="87">
        <f t="shared" si="640"/>
        <v>1.29644364074744</v>
      </c>
      <c r="BN290" s="87">
        <f t="shared" si="640"/>
        <v>0.545444590451161</v>
      </c>
      <c r="BO290" s="87">
        <f t="shared" si="640"/>
        <v>-0.00804958544634948</v>
      </c>
      <c r="BP290" s="530">
        <f t="shared" si="640"/>
        <v>-0.00804958544634948</v>
      </c>
      <c r="BQ290" s="87">
        <f t="shared" si="640"/>
        <v>0.904957224891597</v>
      </c>
      <c r="BR290" s="87">
        <f t="shared" si="640"/>
        <v>4.80203685232821</v>
      </c>
      <c r="BS290" s="87">
        <f t="shared" si="640"/>
        <v>9.85098845036491</v>
      </c>
      <c r="BT290" s="87">
        <f t="shared" si="640"/>
        <v>2.87620709242879</v>
      </c>
      <c r="BU290" s="530">
        <f t="shared" si="640"/>
        <v>2.87620709242879</v>
      </c>
      <c r="BV290" s="87">
        <f t="shared" si="640"/>
        <v>4.4295908951092</v>
      </c>
      <c r="BW290" s="87">
        <f t="shared" si="640"/>
        <v>-9.04789048432608e-5</v>
      </c>
      <c r="BX290" s="87">
        <f t="shared" si="640"/>
        <v>-0.240688259109312</v>
      </c>
      <c r="BY290" s="87">
        <f t="shared" si="640"/>
        <v>-0.162624433441847</v>
      </c>
      <c r="BZ290" s="530">
        <f t="shared" si="640"/>
        <v>-0.162624433441847</v>
      </c>
      <c r="CA290" s="87">
        <f t="shared" si="640"/>
        <v>-0.105576831562011</v>
      </c>
      <c r="CB290" s="87">
        <f t="shared" si="640"/>
        <v>0.110882882556803</v>
      </c>
      <c r="CC290" s="87">
        <f t="shared" si="640"/>
        <v>0.38267644757097</v>
      </c>
      <c r="CD290" s="87">
        <f t="shared" si="640"/>
        <v>1.15315574334038</v>
      </c>
      <c r="CE290" s="530">
        <f t="shared" si="640"/>
        <v>1.15315574334038</v>
      </c>
      <c r="CF290" s="87">
        <f t="shared" si="640"/>
        <v>1.49473017481632</v>
      </c>
      <c r="CG290" s="87">
        <f t="shared" si="640"/>
        <v>0.657986266667753</v>
      </c>
      <c r="CH290" s="87">
        <f t="shared" si="640"/>
        <v>0.412292650159536</v>
      </c>
      <c r="CI290" s="87">
        <f t="shared" si="640"/>
        <v>0.6820593801888</v>
      </c>
      <c r="CJ290" s="530">
        <f t="shared" si="640"/>
        <v>0.6820593801888</v>
      </c>
      <c r="CK290" s="87">
        <f t="shared" si="640"/>
        <v>0.564412442747317</v>
      </c>
      <c r="CL290" s="87">
        <f t="shared" si="640"/>
        <v>0.276993898185177</v>
      </c>
      <c r="CM290" s="87">
        <f t="shared" si="640"/>
        <v>0.325027414815891</v>
      </c>
      <c r="CN290" s="87">
        <f t="shared" si="640"/>
        <v>-0.403813231720786</v>
      </c>
      <c r="CO290" s="530">
        <f t="shared" si="640"/>
        <v>-0.403813231720786</v>
      </c>
      <c r="CP290" s="87">
        <f t="shared" si="640"/>
        <v>-0.0669358555727947</v>
      </c>
      <c r="CQ290" s="87">
        <f t="shared" si="640"/>
        <v>0.149992113170236</v>
      </c>
      <c r="CR290" s="87">
        <f t="shared" si="640"/>
        <v>0.0280985143085053</v>
      </c>
      <c r="CS290" s="87">
        <f t="shared" si="640"/>
        <v>1.01723479146886</v>
      </c>
      <c r="CT290" s="530">
        <f t="shared" si="640"/>
        <v>1.01723479146886</v>
      </c>
      <c r="CU290" s="87">
        <f t="shared" si="640"/>
        <v>-0.0899556118331338</v>
      </c>
      <c r="CV290" s="87">
        <f t="shared" si="640"/>
        <v>0.0616699117471915</v>
      </c>
      <c r="CW290" s="87">
        <f t="shared" si="640"/>
        <v>0.247753164966184</v>
      </c>
      <c r="CX290" s="87">
        <f t="shared" ref="CX290:DS290" si="641">CX195/CS195-1</f>
        <v>-0.221084774753832</v>
      </c>
      <c r="CY290" s="530">
        <f t="shared" si="641"/>
        <v>-0.221084774753832</v>
      </c>
      <c r="CZ290" s="87">
        <f t="shared" si="641"/>
        <v>0.161961736205348</v>
      </c>
      <c r="DA290" s="87">
        <f t="shared" si="641"/>
        <v>0.17641516568562</v>
      </c>
      <c r="DB290" s="87">
        <f t="shared" si="641"/>
        <v>-0.0875738418488962</v>
      </c>
      <c r="DC290" s="87">
        <f t="shared" si="641"/>
        <v>0.221126283133018</v>
      </c>
      <c r="DD290" s="530">
        <f t="shared" si="641"/>
        <v>0.221126283133018</v>
      </c>
      <c r="DE290" s="87">
        <f t="shared" si="641"/>
        <v>-0.0317526112344767</v>
      </c>
      <c r="DF290" s="87">
        <f t="shared" si="641"/>
        <v>-0.0712929207972508</v>
      </c>
      <c r="DG290" s="87">
        <f t="shared" si="641"/>
        <v>0.0458246517164216</v>
      </c>
      <c r="DH290" s="87">
        <f t="shared" si="641"/>
        <v>-0.0357941564500047</v>
      </c>
      <c r="DI290" s="530">
        <f t="shared" si="641"/>
        <v>-0.0357941564500047</v>
      </c>
      <c r="DJ290" s="87">
        <f t="shared" si="641"/>
        <v>-0.075643481211517</v>
      </c>
      <c r="DK290" s="87">
        <f t="shared" si="641"/>
        <v>-0.039838797806142</v>
      </c>
      <c r="DL290" s="87">
        <f t="shared" si="641"/>
        <v>-0.029506745254585</v>
      </c>
      <c r="DM290" s="87">
        <f t="shared" si="641"/>
        <v>0.00291899398926931</v>
      </c>
      <c r="DN290" s="530">
        <f t="shared" si="641"/>
        <v>0.00291899398926931</v>
      </c>
      <c r="DO290" s="87">
        <f t="shared" si="641"/>
        <v>0.0191339166535043</v>
      </c>
      <c r="DP290" s="87">
        <f t="shared" si="641"/>
        <v>0.00316334132700069</v>
      </c>
      <c r="DQ290" s="87">
        <f t="shared" si="641"/>
        <v>0.00764401992793196</v>
      </c>
      <c r="DR290" s="87">
        <f t="shared" si="641"/>
        <v>0.0134245585221049</v>
      </c>
      <c r="DS290" s="530">
        <f t="shared" si="641"/>
        <v>0.0134245585221049</v>
      </c>
    </row>
    <row r="291" spans="1:123">
      <c r="A291" s="132"/>
      <c r="B291" s="633"/>
      <c r="C291" s="131"/>
      <c r="D291" s="132"/>
      <c r="E291" s="132"/>
      <c r="F291" s="132"/>
      <c r="G291" s="132"/>
      <c r="H291" s="131"/>
      <c r="I291" s="132"/>
      <c r="J291" s="132"/>
      <c r="K291" s="132"/>
      <c r="L291" s="132"/>
      <c r="M291" s="131"/>
      <c r="N291" s="190"/>
      <c r="O291" s="190"/>
      <c r="P291" s="190"/>
      <c r="Q291" s="190"/>
      <c r="R291" s="131"/>
      <c r="S291" s="190"/>
      <c r="T291" s="190"/>
      <c r="U291" s="190"/>
      <c r="V291" s="190"/>
      <c r="W291" s="131"/>
      <c r="X291" s="190"/>
      <c r="Y291" s="190"/>
      <c r="Z291" s="190"/>
      <c r="AA291" s="190"/>
      <c r="AB291" s="131"/>
      <c r="AC291" s="190"/>
      <c r="AD291" s="190"/>
      <c r="AE291" s="190"/>
      <c r="AF291" s="190"/>
      <c r="AG291" s="131"/>
      <c r="AH291" s="132"/>
      <c r="AI291" s="132"/>
      <c r="AJ291" s="132"/>
      <c r="AK291" s="132"/>
      <c r="AL291" s="131"/>
      <c r="AM291" s="132"/>
      <c r="AN291" s="132"/>
      <c r="AO291" s="132"/>
      <c r="AP291" s="132"/>
      <c r="AQ291" s="131"/>
      <c r="AR291" s="132"/>
      <c r="AS291" s="132"/>
      <c r="AT291" s="132"/>
      <c r="AU291" s="132"/>
      <c r="AV291" s="131"/>
      <c r="AW291" s="132"/>
      <c r="AX291" s="132"/>
      <c r="AY291" s="132"/>
      <c r="AZ291" s="132"/>
      <c r="BA291" s="131"/>
      <c r="BB291" s="132"/>
      <c r="BC291" s="132"/>
      <c r="BD291" s="132"/>
      <c r="BE291" s="132"/>
      <c r="BF291" s="131"/>
      <c r="BG291" s="132"/>
      <c r="BH291" s="132"/>
      <c r="BI291" s="132"/>
      <c r="BJ291" s="132"/>
      <c r="BK291" s="131"/>
      <c r="BL291" s="132"/>
      <c r="BM291" s="132"/>
      <c r="BN291" s="132"/>
      <c r="BO291" s="132"/>
      <c r="BP291" s="131"/>
      <c r="BQ291" s="190"/>
      <c r="BR291" s="190"/>
      <c r="BS291" s="190"/>
      <c r="BT291" s="190"/>
      <c r="BU291" s="131"/>
      <c r="BV291" s="190"/>
      <c r="BW291" s="190"/>
      <c r="BX291" s="190"/>
      <c r="BY291" s="190"/>
      <c r="BZ291" s="131"/>
      <c r="CA291" s="190"/>
      <c r="CB291" s="190"/>
      <c r="CC291" s="190"/>
      <c r="CD291" s="190"/>
      <c r="CE291" s="131"/>
      <c r="CF291" s="190"/>
      <c r="CG291" s="190"/>
      <c r="CH291" s="190"/>
      <c r="CI291" s="190"/>
      <c r="CJ291" s="131"/>
      <c r="CK291" s="190"/>
      <c r="CL291" s="190"/>
      <c r="CM291" s="190"/>
      <c r="CN291" s="190"/>
      <c r="CO291" s="131"/>
      <c r="CP291" s="190"/>
      <c r="CQ291" s="190"/>
      <c r="CR291" s="190"/>
      <c r="CS291" s="190"/>
      <c r="CT291" s="131"/>
      <c r="CU291" s="190"/>
      <c r="CV291" s="190"/>
      <c r="CW291" s="190"/>
      <c r="CX291" s="190"/>
      <c r="CY291" s="131"/>
      <c r="CZ291" s="190"/>
      <c r="DA291" s="190"/>
      <c r="DB291" s="190"/>
      <c r="DC291" s="190"/>
      <c r="DD291" s="131"/>
      <c r="DE291" s="190"/>
      <c r="DF291" s="190"/>
      <c r="DG291" s="190"/>
      <c r="DH291" s="190"/>
      <c r="DI291" s="131"/>
      <c r="DJ291" s="190"/>
      <c r="DK291" s="190"/>
      <c r="DL291" s="190"/>
      <c r="DM291" s="190"/>
      <c r="DN291" s="131"/>
      <c r="DO291" s="190"/>
      <c r="DP291" s="190"/>
      <c r="DQ291" s="190"/>
      <c r="DR291" s="190"/>
      <c r="DS291" s="131"/>
    </row>
    <row r="292" spans="1:123">
      <c r="A292" s="132"/>
      <c r="B292" s="687" t="s">
        <v>194</v>
      </c>
      <c r="C292" s="131"/>
      <c r="D292" s="132"/>
      <c r="E292" s="132"/>
      <c r="F292" s="132"/>
      <c r="G292" s="132"/>
      <c r="H292" s="131"/>
      <c r="I292" s="132"/>
      <c r="J292" s="132"/>
      <c r="K292" s="132"/>
      <c r="L292" s="132"/>
      <c r="M292" s="131"/>
      <c r="N292" s="132"/>
      <c r="O292" s="132"/>
      <c r="P292" s="132"/>
      <c r="Q292" s="132"/>
      <c r="R292" s="131">
        <f>R275+R281-R289</f>
        <v>84.7393829367153</v>
      </c>
      <c r="S292" s="132"/>
      <c r="T292" s="132"/>
      <c r="U292" s="132"/>
      <c r="V292" s="132"/>
      <c r="W292" s="131">
        <f>W275+W281-W289</f>
        <v>89.4013263986125</v>
      </c>
      <c r="X292" s="132"/>
      <c r="Y292" s="132"/>
      <c r="Z292" s="132"/>
      <c r="AA292" s="132"/>
      <c r="AB292" s="131">
        <f>AB275+AB281-AB289</f>
        <v>67.8475467123814</v>
      </c>
      <c r="AC292" s="132"/>
      <c r="AD292" s="132"/>
      <c r="AE292" s="132"/>
      <c r="AF292" s="132"/>
      <c r="AG292" s="131">
        <f>AG275+AG281-AG289</f>
        <v>53.1750465225546</v>
      </c>
      <c r="AH292" s="132"/>
      <c r="AI292" s="132"/>
      <c r="AJ292" s="132"/>
      <c r="AK292" s="132"/>
      <c r="AL292" s="131">
        <f t="shared" ref="AL292:BZ292" si="642">AL275+AL281-AL289</f>
        <v>62.8520419913332</v>
      </c>
      <c r="AM292" s="132">
        <f t="shared" si="642"/>
        <v>69.3874939883038</v>
      </c>
      <c r="AN292" s="132">
        <f t="shared" si="642"/>
        <v>82.8066648044204</v>
      </c>
      <c r="AO292" s="132">
        <f t="shared" si="642"/>
        <v>93.1739517425676</v>
      </c>
      <c r="AP292" s="132">
        <f t="shared" si="642"/>
        <v>60.3332804877649</v>
      </c>
      <c r="AQ292" s="131">
        <f t="shared" si="642"/>
        <v>76.8982309312366</v>
      </c>
      <c r="AR292" s="132">
        <f t="shared" si="642"/>
        <v>64.7159586527065</v>
      </c>
      <c r="AS292" s="132">
        <f t="shared" si="642"/>
        <v>84.7211151156248</v>
      </c>
      <c r="AT292" s="132">
        <f t="shared" si="642"/>
        <v>94.6528008811764</v>
      </c>
      <c r="AU292" s="132">
        <f t="shared" si="642"/>
        <v>72.8474185643496</v>
      </c>
      <c r="AV292" s="131">
        <f t="shared" si="642"/>
        <v>82.2446468778677</v>
      </c>
      <c r="AW292" s="132">
        <f t="shared" si="642"/>
        <v>82.8871646168116</v>
      </c>
      <c r="AX292" s="132">
        <f t="shared" si="642"/>
        <v>82.7737529556975</v>
      </c>
      <c r="AY292" s="132">
        <f t="shared" si="642"/>
        <v>88.9544514926624</v>
      </c>
      <c r="AZ292" s="132">
        <f t="shared" si="642"/>
        <v>67.5492101225195</v>
      </c>
      <c r="BA292" s="131">
        <f t="shared" si="642"/>
        <v>80.5956091751898</v>
      </c>
      <c r="BB292" s="132">
        <f t="shared" si="642"/>
        <v>91.0868297603068</v>
      </c>
      <c r="BC292" s="132">
        <f t="shared" si="642"/>
        <v>99.2295554329344</v>
      </c>
      <c r="BD292" s="132">
        <f t="shared" si="642"/>
        <v>115.720925145275</v>
      </c>
      <c r="BE292" s="132">
        <f t="shared" si="642"/>
        <v>83.3583977393355</v>
      </c>
      <c r="BF292" s="131">
        <f t="shared" si="642"/>
        <v>99.3822309827217</v>
      </c>
      <c r="BG292" s="132">
        <f t="shared" si="642"/>
        <v>99.2125748867362</v>
      </c>
      <c r="BH292" s="132">
        <f t="shared" si="642"/>
        <v>98.624746064839</v>
      </c>
      <c r="BI292" s="132">
        <f t="shared" si="642"/>
        <v>110.589267054416</v>
      </c>
      <c r="BJ292" s="132">
        <f t="shared" si="642"/>
        <v>80.1804036617492</v>
      </c>
      <c r="BK292" s="131">
        <f t="shared" si="642"/>
        <v>95.7759142502539</v>
      </c>
      <c r="BL292" s="132">
        <f t="shared" si="642"/>
        <v>99.9677892039828</v>
      </c>
      <c r="BM292" s="132">
        <f t="shared" si="642"/>
        <v>99.1925426916144</v>
      </c>
      <c r="BN292" s="132">
        <f t="shared" si="642"/>
        <v>109.59833269888</v>
      </c>
      <c r="BO292" s="132">
        <f t="shared" si="642"/>
        <v>78.9655171139612</v>
      </c>
      <c r="BP292" s="131">
        <f t="shared" si="642"/>
        <v>96.5249896684501</v>
      </c>
      <c r="BQ292" s="132">
        <f t="shared" si="642"/>
        <v>100.173112222077</v>
      </c>
      <c r="BR292" s="132">
        <f t="shared" si="642"/>
        <v>93.7292593980246</v>
      </c>
      <c r="BS292" s="132">
        <f t="shared" si="642"/>
        <v>95.8766917909974</v>
      </c>
      <c r="BT292" s="132">
        <f t="shared" si="642"/>
        <v>57.5783659834599</v>
      </c>
      <c r="BU292" s="131">
        <f t="shared" si="642"/>
        <v>84.2615803518985</v>
      </c>
      <c r="BV292" s="132">
        <f t="shared" si="642"/>
        <v>87.2993376041102</v>
      </c>
      <c r="BW292" s="132">
        <f t="shared" si="642"/>
        <v>90.5682783198302</v>
      </c>
      <c r="BX292" s="132">
        <f t="shared" si="642"/>
        <v>109.482967328474</v>
      </c>
      <c r="BY292" s="132">
        <f t="shared" si="642"/>
        <v>73.4416190224948</v>
      </c>
      <c r="BZ292" s="131">
        <f t="shared" si="642"/>
        <v>91.7993488650519</v>
      </c>
      <c r="CA292" s="132">
        <f t="shared" ref="CA292:CP292" si="643">CA275+CA281-CA289</f>
        <v>151.465952796284</v>
      </c>
      <c r="CB292" s="132">
        <f t="shared" si="643"/>
        <v>129.304213801773</v>
      </c>
      <c r="CC292" s="132">
        <f t="shared" si="643"/>
        <v>117.820250245595</v>
      </c>
      <c r="CD292" s="132">
        <f t="shared" si="643"/>
        <v>68.4294275055669</v>
      </c>
      <c r="CE292" s="131">
        <f t="shared" si="643"/>
        <v>109.17218687943</v>
      </c>
      <c r="CF292" s="132">
        <f t="shared" si="643"/>
        <v>94.2040036636702</v>
      </c>
      <c r="CG292" s="132">
        <f t="shared" si="643"/>
        <v>91.0983323431751</v>
      </c>
      <c r="CH292" s="132">
        <f t="shared" si="643"/>
        <v>107.033458477335</v>
      </c>
      <c r="CI292" s="132">
        <f t="shared" si="643"/>
        <v>75.7388776368647</v>
      </c>
      <c r="CJ292" s="131">
        <f t="shared" si="643"/>
        <v>93.9660258745638</v>
      </c>
      <c r="CK292" s="132">
        <f t="shared" si="643"/>
        <v>113.226362179652</v>
      </c>
      <c r="CL292" s="132">
        <f t="shared" si="643"/>
        <v>132.707904518446</v>
      </c>
      <c r="CM292" s="132">
        <f t="shared" si="643"/>
        <v>161.063661616324</v>
      </c>
      <c r="CN292" s="132">
        <f t="shared" si="643"/>
        <v>103.423393739714</v>
      </c>
      <c r="CO292" s="131">
        <f t="shared" si="643"/>
        <v>132.933808532056</v>
      </c>
      <c r="CP292" s="132">
        <f t="shared" si="643"/>
        <v>143.02228060516</v>
      </c>
      <c r="CQ292" s="132">
        <f t="shared" ref="CQ292:DI292" si="644">CQ275+CQ281-CQ289</f>
        <v>140.950180368852</v>
      </c>
      <c r="CR292" s="132">
        <f t="shared" si="644"/>
        <v>139.784785640621</v>
      </c>
      <c r="CS292" s="132">
        <f t="shared" si="644"/>
        <v>78.2746226764152</v>
      </c>
      <c r="CT292" s="131">
        <f t="shared" si="644"/>
        <v>117.967843206932</v>
      </c>
      <c r="CU292" s="132">
        <f t="shared" si="644"/>
        <v>106.196253273643</v>
      </c>
      <c r="CV292" s="132">
        <f t="shared" si="644"/>
        <v>114.091292786504</v>
      </c>
      <c r="CW292" s="132">
        <f t="shared" si="644"/>
        <v>132.449246405277</v>
      </c>
      <c r="CX292" s="132">
        <f t="shared" si="644"/>
        <v>79.4687836934002</v>
      </c>
      <c r="CY292" s="131">
        <f t="shared" si="644"/>
        <v>107.219235631366</v>
      </c>
      <c r="CZ292" s="132">
        <f t="shared" si="644"/>
        <v>122.955008099828</v>
      </c>
      <c r="DA292" s="132">
        <f t="shared" si="644"/>
        <v>125.376255099647</v>
      </c>
      <c r="DB292" s="132">
        <f t="shared" si="644"/>
        <v>133.524935135632</v>
      </c>
      <c r="DC292" s="132">
        <f t="shared" si="644"/>
        <v>85.7638540700281</v>
      </c>
      <c r="DD292" s="131">
        <f t="shared" si="644"/>
        <v>115.420867854906</v>
      </c>
      <c r="DE292" s="132">
        <f t="shared" si="644"/>
        <v>114.608214899712</v>
      </c>
      <c r="DF292" s="132">
        <f t="shared" si="644"/>
        <v>140.16656017044</v>
      </c>
      <c r="DG292" s="132">
        <f t="shared" si="644"/>
        <v>143.903665403124</v>
      </c>
      <c r="DH292" s="132">
        <f t="shared" si="644"/>
        <v>99.1822972121754</v>
      </c>
      <c r="DI292" s="131">
        <f t="shared" si="644"/>
        <v>122.7536595071</v>
      </c>
      <c r="DJ292" s="132">
        <f t="shared" ref="DJ292:DN292" si="645">DJ275+DJ281-DJ289</f>
        <v>120.463394259105</v>
      </c>
      <c r="DK292" s="132">
        <f t="shared" si="645"/>
        <v>131.151493146662</v>
      </c>
      <c r="DL292" s="132">
        <f t="shared" si="645"/>
        <v>147.021809737318</v>
      </c>
      <c r="DM292" s="132">
        <f t="shared" si="645"/>
        <v>100.848142695295</v>
      </c>
      <c r="DN292" s="131">
        <f t="shared" si="645"/>
        <v>123.240006566259</v>
      </c>
      <c r="DO292" s="132">
        <f t="shared" ref="DO292:DS292" si="646">DO275+DO281-DO289</f>
        <v>121.911667610144</v>
      </c>
      <c r="DP292" s="132">
        <f t="shared" si="646"/>
        <v>130.130807382287</v>
      </c>
      <c r="DQ292" s="132">
        <f t="shared" si="646"/>
        <v>145.301604753017</v>
      </c>
      <c r="DR292" s="132">
        <f t="shared" si="646"/>
        <v>101.265508259362</v>
      </c>
      <c r="DS292" s="131">
        <f t="shared" si="646"/>
        <v>123.30053285872</v>
      </c>
    </row>
    <row r="293" spans="1:123">
      <c r="A293" s="132"/>
      <c r="B293" s="33"/>
      <c r="C293" s="131"/>
      <c r="D293" s="132"/>
      <c r="E293" s="132"/>
      <c r="F293" s="132"/>
      <c r="G293" s="132"/>
      <c r="H293" s="131"/>
      <c r="I293" s="132"/>
      <c r="J293" s="132"/>
      <c r="K293" s="132"/>
      <c r="L293" s="132"/>
      <c r="M293" s="131"/>
      <c r="N293" s="132"/>
      <c r="O293" s="132"/>
      <c r="P293" s="132"/>
      <c r="Q293" s="132"/>
      <c r="R293" s="131"/>
      <c r="S293" s="132"/>
      <c r="T293" s="132"/>
      <c r="U293" s="132"/>
      <c r="V293" s="132"/>
      <c r="W293" s="131"/>
      <c r="X293" s="132"/>
      <c r="Y293" s="132"/>
      <c r="Z293" s="132"/>
      <c r="AA293" s="132"/>
      <c r="AB293" s="131"/>
      <c r="AC293" s="132"/>
      <c r="AD293" s="132"/>
      <c r="AE293" s="132"/>
      <c r="AF293" s="132"/>
      <c r="AG293" s="131"/>
      <c r="AH293" s="132"/>
      <c r="AI293" s="132"/>
      <c r="AJ293" s="132"/>
      <c r="AK293" s="132"/>
      <c r="AL293" s="131"/>
      <c r="AM293" s="132"/>
      <c r="AN293" s="132"/>
      <c r="AO293" s="132"/>
      <c r="AP293" s="132"/>
      <c r="AQ293" s="131"/>
      <c r="AR293" s="132"/>
      <c r="AS293" s="132"/>
      <c r="AT293" s="132"/>
      <c r="AU293" s="132"/>
      <c r="AV293" s="131"/>
      <c r="AW293" s="132"/>
      <c r="AX293" s="132"/>
      <c r="AY293" s="132"/>
      <c r="AZ293" s="132"/>
      <c r="BA293" s="131"/>
      <c r="BB293" s="132"/>
      <c r="BC293" s="132"/>
      <c r="BD293" s="132"/>
      <c r="BE293" s="132"/>
      <c r="BF293" s="131"/>
      <c r="BG293" s="132"/>
      <c r="BH293" s="132"/>
      <c r="BI293" s="132"/>
      <c r="BJ293" s="132"/>
      <c r="BK293" s="131"/>
      <c r="BL293" s="132"/>
      <c r="BM293" s="132"/>
      <c r="BN293" s="132"/>
      <c r="BO293" s="132"/>
      <c r="BP293" s="131"/>
      <c r="BQ293" s="132"/>
      <c r="BR293" s="132"/>
      <c r="BS293" s="132"/>
      <c r="BT293" s="132"/>
      <c r="BU293" s="131"/>
      <c r="BV293" s="132"/>
      <c r="BW293" s="132"/>
      <c r="BX293" s="132"/>
      <c r="BY293" s="132"/>
      <c r="BZ293" s="131"/>
      <c r="CA293" s="132"/>
      <c r="CB293" s="132"/>
      <c r="CC293" s="132"/>
      <c r="CD293" s="132"/>
      <c r="CE293" s="131"/>
      <c r="CF293" s="132"/>
      <c r="CG293" s="132"/>
      <c r="CH293" s="132"/>
      <c r="CI293" s="132"/>
      <c r="CJ293" s="131"/>
      <c r="CK293" s="132"/>
      <c r="CL293" s="132"/>
      <c r="CM293" s="132"/>
      <c r="CN293" s="132"/>
      <c r="CO293" s="131"/>
      <c r="CP293" s="132"/>
      <c r="CQ293" s="132"/>
      <c r="CR293" s="132"/>
      <c r="CS293" s="132"/>
      <c r="CT293" s="131"/>
      <c r="CU293" s="132"/>
      <c r="CV293" s="132"/>
      <c r="CW293" s="132"/>
      <c r="CX293" s="132"/>
      <c r="CY293" s="131"/>
      <c r="CZ293" s="132"/>
      <c r="DA293" s="132"/>
      <c r="DB293" s="132"/>
      <c r="DC293" s="132"/>
      <c r="DD293" s="131"/>
      <c r="DE293" s="132"/>
      <c r="DF293" s="132"/>
      <c r="DG293" s="132"/>
      <c r="DH293" s="132"/>
      <c r="DI293" s="131"/>
      <c r="DJ293" s="132"/>
      <c r="DK293" s="132"/>
      <c r="DL293" s="132"/>
      <c r="DM293" s="132"/>
      <c r="DN293" s="131"/>
      <c r="DO293" s="132"/>
      <c r="DP293" s="132"/>
      <c r="DQ293" s="132"/>
      <c r="DR293" s="132"/>
      <c r="DS293" s="131"/>
    </row>
    <row r="294" spans="1:123">
      <c r="A294" s="132"/>
      <c r="B294" s="33" t="s">
        <v>213</v>
      </c>
      <c r="C294" s="131"/>
      <c r="D294" s="132"/>
      <c r="E294" s="132"/>
      <c r="F294" s="132"/>
      <c r="G294" s="132"/>
      <c r="H294" s="131"/>
      <c r="I294" s="132"/>
      <c r="J294" s="132"/>
      <c r="K294" s="132"/>
      <c r="L294" s="132"/>
      <c r="M294" s="124">
        <f>(M178-M173)-(M201-M196)</f>
        <v>0.525618999999999</v>
      </c>
      <c r="N294" s="132"/>
      <c r="O294" s="132"/>
      <c r="P294" s="132"/>
      <c r="Q294" s="132"/>
      <c r="R294" s="124">
        <f>(R178-R173)-(R201-R196)</f>
        <v>8.745541</v>
      </c>
      <c r="S294" s="132"/>
      <c r="T294" s="132"/>
      <c r="U294" s="132"/>
      <c r="V294" s="132"/>
      <c r="W294" s="124">
        <f>(W178-W173)-(W201-W196)</f>
        <v>14.856</v>
      </c>
      <c r="X294" s="132"/>
      <c r="Y294" s="132"/>
      <c r="Z294" s="132"/>
      <c r="AA294" s="132"/>
      <c r="AB294" s="124">
        <f>(AB178-AB173)-(AB201-AB196)</f>
        <v>-1.841</v>
      </c>
      <c r="AC294" s="132"/>
      <c r="AD294" s="132"/>
      <c r="AE294" s="132"/>
      <c r="AF294" s="132"/>
      <c r="AG294" s="124">
        <f>(AG178-AG173)-(AG201-AG196)</f>
        <v>-12.371</v>
      </c>
      <c r="AH294" s="132"/>
      <c r="AI294" s="132"/>
      <c r="AJ294" s="132"/>
      <c r="AK294" s="132"/>
      <c r="AL294" s="124">
        <f t="shared" ref="AL294:CW294" si="647">(AL178-AL173)-(AL201-AL196)</f>
        <v>14.217</v>
      </c>
      <c r="AM294" s="125">
        <f t="shared" si="647"/>
        <v>62.941</v>
      </c>
      <c r="AN294" s="125">
        <f t="shared" si="647"/>
        <v>84.263</v>
      </c>
      <c r="AO294" s="125">
        <f t="shared" si="647"/>
        <v>110.471</v>
      </c>
      <c r="AP294" s="125">
        <f t="shared" si="647"/>
        <v>63.517</v>
      </c>
      <c r="AQ294" s="124">
        <f t="shared" si="647"/>
        <v>63.517</v>
      </c>
      <c r="AR294" s="125">
        <f t="shared" si="647"/>
        <v>100.875</v>
      </c>
      <c r="AS294" s="125">
        <f t="shared" si="647"/>
        <v>126.926</v>
      </c>
      <c r="AT294" s="125">
        <f t="shared" si="647"/>
        <v>185.232</v>
      </c>
      <c r="AU294" s="125">
        <f t="shared" si="647"/>
        <v>130.676</v>
      </c>
      <c r="AV294" s="124">
        <f t="shared" si="647"/>
        <v>130.676</v>
      </c>
      <c r="AW294" s="125">
        <f t="shared" si="647"/>
        <v>123.935</v>
      </c>
      <c r="AX294" s="125">
        <f t="shared" si="647"/>
        <v>134.129</v>
      </c>
      <c r="AY294" s="125">
        <f t="shared" si="647"/>
        <v>163.325</v>
      </c>
      <c r="AZ294" s="125">
        <f t="shared" si="647"/>
        <v>126.652</v>
      </c>
      <c r="BA294" s="124">
        <f t="shared" si="647"/>
        <v>126.652</v>
      </c>
      <c r="BB294" s="125">
        <f t="shared" si="647"/>
        <v>173.429</v>
      </c>
      <c r="BC294" s="125">
        <f t="shared" si="647"/>
        <v>228.899</v>
      </c>
      <c r="BD294" s="125">
        <f t="shared" si="647"/>
        <v>316.73</v>
      </c>
      <c r="BE294" s="125">
        <f t="shared" si="647"/>
        <v>190.053</v>
      </c>
      <c r="BF294" s="124">
        <f t="shared" si="647"/>
        <v>190.053</v>
      </c>
      <c r="BG294" s="125">
        <f t="shared" si="647"/>
        <v>218.719</v>
      </c>
      <c r="BH294" s="125">
        <f t="shared" si="647"/>
        <v>229.895</v>
      </c>
      <c r="BI294" s="125">
        <f t="shared" si="647"/>
        <v>329.816</v>
      </c>
      <c r="BJ294" s="125">
        <f t="shared" si="647"/>
        <v>186.442</v>
      </c>
      <c r="BK294" s="124">
        <f t="shared" si="647"/>
        <v>186.442</v>
      </c>
      <c r="BL294" s="125">
        <f t="shared" si="647"/>
        <v>228.419</v>
      </c>
      <c r="BM294" s="125">
        <f t="shared" si="647"/>
        <v>225.519</v>
      </c>
      <c r="BN294" s="125">
        <f t="shared" si="647"/>
        <v>297.717</v>
      </c>
      <c r="BO294" s="125">
        <f t="shared" si="647"/>
        <v>153.183</v>
      </c>
      <c r="BP294" s="124">
        <f t="shared" si="647"/>
        <v>153.183</v>
      </c>
      <c r="BQ294" s="125">
        <f t="shared" si="647"/>
        <v>218.943</v>
      </c>
      <c r="BR294" s="125">
        <f t="shared" si="647"/>
        <v>181.035</v>
      </c>
      <c r="BS294" s="125">
        <f t="shared" si="647"/>
        <v>216.189</v>
      </c>
      <c r="BT294" s="125">
        <f t="shared" si="647"/>
        <v>47.4849999999999</v>
      </c>
      <c r="BU294" s="124">
        <f t="shared" si="647"/>
        <v>47.4849999999999</v>
      </c>
      <c r="BV294" s="125">
        <f t="shared" si="647"/>
        <v>92.4009999999998</v>
      </c>
      <c r="BW294" s="125">
        <f t="shared" si="647"/>
        <v>156.666</v>
      </c>
      <c r="BX294" s="125">
        <f t="shared" si="647"/>
        <v>290.754</v>
      </c>
      <c r="BY294" s="125">
        <f t="shared" si="647"/>
        <v>94.015</v>
      </c>
      <c r="BZ294" s="124">
        <f t="shared" si="647"/>
        <v>94.015</v>
      </c>
      <c r="CA294" s="125">
        <f t="shared" si="647"/>
        <v>240.043</v>
      </c>
      <c r="CB294" s="125">
        <f t="shared" si="647"/>
        <v>203.448</v>
      </c>
      <c r="CC294" s="125">
        <f t="shared" si="647"/>
        <v>388.354</v>
      </c>
      <c r="CD294" s="125">
        <f t="shared" si="647"/>
        <v>90.6840000000002</v>
      </c>
      <c r="CE294" s="124">
        <f t="shared" si="647"/>
        <v>90.6840000000002</v>
      </c>
      <c r="CF294" s="125">
        <f t="shared" si="647"/>
        <v>108.899</v>
      </c>
      <c r="CG294" s="125">
        <f t="shared" si="647"/>
        <v>123.912</v>
      </c>
      <c r="CH294" s="125">
        <f t="shared" si="647"/>
        <v>199.683</v>
      </c>
      <c r="CI294" s="125">
        <f t="shared" si="647"/>
        <v>-50.3519999999999</v>
      </c>
      <c r="CJ294" s="124">
        <f t="shared" si="647"/>
        <v>-50.3519999999999</v>
      </c>
      <c r="CK294" s="125">
        <f t="shared" si="647"/>
        <v>447.333</v>
      </c>
      <c r="CL294" s="125">
        <f t="shared" si="647"/>
        <v>681.053</v>
      </c>
      <c r="CM294" s="125">
        <f t="shared" si="647"/>
        <v>958.722</v>
      </c>
      <c r="CN294" s="125">
        <f t="shared" si="647"/>
        <v>512.388</v>
      </c>
      <c r="CO294" s="124">
        <f t="shared" si="647"/>
        <v>512.388</v>
      </c>
      <c r="CP294" s="125">
        <f t="shared" si="647"/>
        <v>845.924</v>
      </c>
      <c r="CQ294" s="125">
        <f t="shared" si="647"/>
        <v>830.033</v>
      </c>
      <c r="CR294" s="125">
        <f t="shared" si="647"/>
        <v>825.647</v>
      </c>
      <c r="CS294" s="125">
        <f t="shared" si="647"/>
        <v>185.345000000001</v>
      </c>
      <c r="CT294" s="124">
        <f t="shared" si="647"/>
        <v>185.345000000001</v>
      </c>
      <c r="CU294" s="125">
        <f t="shared" si="647"/>
        <v>483.844</v>
      </c>
      <c r="CV294" s="125">
        <f t="shared" si="647"/>
        <v>492.981</v>
      </c>
      <c r="CW294" s="125">
        <f t="shared" si="647"/>
        <v>613.337</v>
      </c>
      <c r="CX294" s="125">
        <f t="shared" ref="CX294:DS294" si="648">(CX178-CX173)-(CX201-CX196)</f>
        <v>156.336</v>
      </c>
      <c r="CY294" s="124">
        <f t="shared" si="648"/>
        <v>156.336</v>
      </c>
      <c r="CZ294" s="125">
        <f t="shared" si="648"/>
        <v>684.86</v>
      </c>
      <c r="DA294" s="125">
        <f t="shared" si="648"/>
        <v>815.588</v>
      </c>
      <c r="DB294" s="125">
        <f t="shared" si="648"/>
        <v>1045.62</v>
      </c>
      <c r="DC294" s="125">
        <f t="shared" si="648"/>
        <v>567.951</v>
      </c>
      <c r="DD294" s="124">
        <f t="shared" si="648"/>
        <v>567.951</v>
      </c>
      <c r="DE294" s="125">
        <f t="shared" si="648"/>
        <v>685.53</v>
      </c>
      <c r="DF294" s="125">
        <f t="shared" si="648"/>
        <v>754.199</v>
      </c>
      <c r="DG294" s="125">
        <f t="shared" si="648"/>
        <v>1165.13409365578</v>
      </c>
      <c r="DH294" s="125">
        <f t="shared" si="648"/>
        <v>836.559072853952</v>
      </c>
      <c r="DI294" s="124">
        <f t="shared" si="648"/>
        <v>836.559072853952</v>
      </c>
      <c r="DJ294" s="125">
        <f t="shared" si="648"/>
        <v>753.34711576959</v>
      </c>
      <c r="DK294" s="125">
        <f t="shared" si="648"/>
        <v>801.221862121352</v>
      </c>
      <c r="DL294" s="125">
        <f t="shared" si="648"/>
        <v>1209.43584051134</v>
      </c>
      <c r="DM294" s="125">
        <f t="shared" si="648"/>
        <v>843.652887141754</v>
      </c>
      <c r="DN294" s="124">
        <f t="shared" si="648"/>
        <v>843.652887141754</v>
      </c>
      <c r="DO294" s="125">
        <f t="shared" si="648"/>
        <v>781.004943241011</v>
      </c>
      <c r="DP294" s="125">
        <f t="shared" si="648"/>
        <v>805.621814275865</v>
      </c>
      <c r="DQ294" s="125">
        <f t="shared" si="648"/>
        <v>1222.54488558595</v>
      </c>
      <c r="DR294" s="125">
        <f t="shared" si="648"/>
        <v>862.011676284649</v>
      </c>
      <c r="DS294" s="124">
        <f t="shared" si="648"/>
        <v>862.011676284649</v>
      </c>
    </row>
    <row r="295" spans="1:123">
      <c r="A295" s="132"/>
      <c r="B295" s="33" t="s">
        <v>214</v>
      </c>
      <c r="C295" s="131"/>
      <c r="D295" s="132"/>
      <c r="E295" s="132"/>
      <c r="F295" s="132"/>
      <c r="G295" s="132"/>
      <c r="H295" s="131"/>
      <c r="I295" s="132"/>
      <c r="J295" s="132"/>
      <c r="K295" s="132"/>
      <c r="L295" s="132"/>
      <c r="M295" s="131"/>
      <c r="N295" s="132"/>
      <c r="O295" s="132"/>
      <c r="P295" s="132"/>
      <c r="Q295" s="132"/>
      <c r="R295" s="124">
        <f>R294-M294</f>
        <v>8.219922</v>
      </c>
      <c r="S295" s="132"/>
      <c r="T295" s="132"/>
      <c r="U295" s="132"/>
      <c r="V295" s="132"/>
      <c r="W295" s="124">
        <f>W294-R294</f>
        <v>6.110459</v>
      </c>
      <c r="X295" s="132"/>
      <c r="Y295" s="132"/>
      <c r="Z295" s="132"/>
      <c r="AA295" s="132"/>
      <c r="AB295" s="124">
        <f>AB294-W294</f>
        <v>-16.697</v>
      </c>
      <c r="AC295" s="132"/>
      <c r="AD295" s="132"/>
      <c r="AE295" s="132"/>
      <c r="AF295" s="132"/>
      <c r="AG295" s="124">
        <f>AG294-AB294</f>
        <v>-10.53</v>
      </c>
      <c r="AH295" s="132"/>
      <c r="AI295" s="132"/>
      <c r="AJ295" s="132"/>
      <c r="AK295" s="132"/>
      <c r="AL295" s="124">
        <f>AL294-AG294</f>
        <v>26.588</v>
      </c>
      <c r="AM295" s="132"/>
      <c r="AN295" s="132"/>
      <c r="AO295" s="132"/>
      <c r="AP295" s="132"/>
      <c r="AQ295" s="124">
        <f>AQ294-AL294</f>
        <v>49.3000000000001</v>
      </c>
      <c r="AR295" s="125">
        <f>AR294-AQ294</f>
        <v>37.358</v>
      </c>
      <c r="AS295" s="125">
        <f>AS294-AR294</f>
        <v>26.051</v>
      </c>
      <c r="AT295" s="125">
        <f>AT294-AS294</f>
        <v>58.306</v>
      </c>
      <c r="AU295" s="125">
        <f>AU294-AT294</f>
        <v>-54.556</v>
      </c>
      <c r="AV295" s="124">
        <f>AV294-AQ294</f>
        <v>67.159</v>
      </c>
      <c r="AW295" s="125">
        <f>AW294-AV294</f>
        <v>-6.74100000000004</v>
      </c>
      <c r="AX295" s="125">
        <f>AX294-AW294</f>
        <v>10.1940000000001</v>
      </c>
      <c r="AY295" s="125">
        <f>AY294-AX294</f>
        <v>29.1959999999999</v>
      </c>
      <c r="AZ295" s="125">
        <f>AZ294-AY294</f>
        <v>-36.673</v>
      </c>
      <c r="BA295" s="124">
        <f>BA294-AV294</f>
        <v>-4.02400000000003</v>
      </c>
      <c r="BB295" s="125">
        <f>BB294-BA294</f>
        <v>46.777</v>
      </c>
      <c r="BC295" s="125">
        <f>BC294-BB294</f>
        <v>55.47</v>
      </c>
      <c r="BD295" s="125">
        <f>BD294-BC294</f>
        <v>87.831</v>
      </c>
      <c r="BE295" s="125">
        <f>BE294-BD294</f>
        <v>-126.677</v>
      </c>
      <c r="BF295" s="124">
        <f>BF294-BA294</f>
        <v>63.401</v>
      </c>
      <c r="BG295" s="125">
        <f>BG294-BF294</f>
        <v>28.666</v>
      </c>
      <c r="BH295" s="125">
        <f>BH294-BG294</f>
        <v>11.176</v>
      </c>
      <c r="BI295" s="125">
        <f>BI294-BH294</f>
        <v>99.9210000000001</v>
      </c>
      <c r="BJ295" s="125">
        <f>BJ294-BI294</f>
        <v>-143.374</v>
      </c>
      <c r="BK295" s="124">
        <f>BK294-BF294</f>
        <v>-3.6109999999999</v>
      </c>
      <c r="BL295" s="125">
        <f>BL294-BK294</f>
        <v>41.9769999999997</v>
      </c>
      <c r="BM295" s="125">
        <f>BM294-BL294</f>
        <v>-2.89999999999986</v>
      </c>
      <c r="BN295" s="125">
        <f>BN294-BM294</f>
        <v>72.198</v>
      </c>
      <c r="BO295" s="125">
        <f>BO294-BN294</f>
        <v>-144.534</v>
      </c>
      <c r="BP295" s="124">
        <f>BP294-BK294</f>
        <v>-33.2590000000001</v>
      </c>
      <c r="BQ295" s="125">
        <f>BQ294-BP294</f>
        <v>65.76</v>
      </c>
      <c r="BR295" s="125">
        <f>BR294-BQ294</f>
        <v>-37.9079999999999</v>
      </c>
      <c r="BS295" s="125">
        <f>BS294-BR294</f>
        <v>35.1539999999998</v>
      </c>
      <c r="BT295" s="125">
        <f>BT294-BS294</f>
        <v>-168.704</v>
      </c>
      <c r="BU295" s="124">
        <f>BU294-BP294</f>
        <v>-105.698</v>
      </c>
      <c r="BV295" s="125">
        <f>BV294-BU294</f>
        <v>44.9159999999999</v>
      </c>
      <c r="BW295" s="125">
        <f>BW294-BV294</f>
        <v>64.2650000000001</v>
      </c>
      <c r="BX295" s="125">
        <f>BX294-BW294</f>
        <v>134.088</v>
      </c>
      <c r="BY295" s="125">
        <f>BY294-BX294</f>
        <v>-196.739</v>
      </c>
      <c r="BZ295" s="124">
        <f>BZ294-BU294</f>
        <v>46.5300000000001</v>
      </c>
      <c r="CA295" s="125">
        <f>CA294-BZ294</f>
        <v>146.028</v>
      </c>
      <c r="CB295" s="125">
        <f>CB294-CA294</f>
        <v>-36.5950000000001</v>
      </c>
      <c r="CC295" s="125">
        <f>CC294-CB294</f>
        <v>184.906</v>
      </c>
      <c r="CD295" s="125">
        <f>CD294-CC294</f>
        <v>-297.67</v>
      </c>
      <c r="CE295" s="124">
        <f>CE294-BZ294</f>
        <v>-3.33099999999979</v>
      </c>
      <c r="CF295" s="125">
        <f>CF294-CE294</f>
        <v>18.215</v>
      </c>
      <c r="CG295" s="125">
        <f>CG294-CF294</f>
        <v>15.013</v>
      </c>
      <c r="CH295" s="125">
        <f>CH294-CG294</f>
        <v>75.7709999999997</v>
      </c>
      <c r="CI295" s="125">
        <f>CI294-CH294</f>
        <v>-250.035</v>
      </c>
      <c r="CJ295" s="124">
        <f>CJ294-CE294</f>
        <v>-141.036</v>
      </c>
      <c r="CK295" s="125">
        <f>CK294-CJ294</f>
        <v>497.684999999999</v>
      </c>
      <c r="CL295" s="125">
        <f>CL294-CK294</f>
        <v>233.72</v>
      </c>
      <c r="CM295" s="125">
        <f>CM294-CL294</f>
        <v>277.669</v>
      </c>
      <c r="CN295" s="125">
        <f>CN294-CM294</f>
        <v>-446.334</v>
      </c>
      <c r="CO295" s="124">
        <f>CO294-CJ294</f>
        <v>562.74</v>
      </c>
      <c r="CP295" s="125">
        <f>CP294-CO294</f>
        <v>333.536</v>
      </c>
      <c r="CQ295" s="125">
        <f>CQ294-CP294</f>
        <v>-15.8909999999994</v>
      </c>
      <c r="CR295" s="125">
        <f>CR294-CQ294</f>
        <v>-4.38600000000042</v>
      </c>
      <c r="CS295" s="125">
        <f>CS294-CR294</f>
        <v>-640.301999999999</v>
      </c>
      <c r="CT295" s="124">
        <f>CT294-CO294</f>
        <v>-327.042999999999</v>
      </c>
      <c r="CU295" s="125">
        <f>CU294-CT294</f>
        <v>298.498999999999</v>
      </c>
      <c r="CV295" s="125">
        <f>CV294-CU294</f>
        <v>9.13699999999994</v>
      </c>
      <c r="CW295" s="125">
        <f>CW294-CV294</f>
        <v>120.356</v>
      </c>
      <c r="CX295" s="125">
        <f>CX294-CW294</f>
        <v>-457.001</v>
      </c>
      <c r="CY295" s="124">
        <f>CY294-CT294</f>
        <v>-29.0090000000007</v>
      </c>
      <c r="CZ295" s="125">
        <f>CZ294-CY294</f>
        <v>528.524</v>
      </c>
      <c r="DA295" s="125">
        <f>DA294-CZ294</f>
        <v>130.728</v>
      </c>
      <c r="DB295" s="125">
        <f>DB294-DA294</f>
        <v>230.032</v>
      </c>
      <c r="DC295" s="125">
        <f>DC294-DB294</f>
        <v>-477.669</v>
      </c>
      <c r="DD295" s="124">
        <f>DD294-CY294</f>
        <v>411.615</v>
      </c>
      <c r="DE295" s="125">
        <f>DE294-DD294</f>
        <v>117.579</v>
      </c>
      <c r="DF295" s="125">
        <f>DF294-DE294</f>
        <v>68.6690000000003</v>
      </c>
      <c r="DG295" s="125">
        <f>DG294-DF294</f>
        <v>410.935093655775</v>
      </c>
      <c r="DH295" s="125">
        <f>DH294-DG294</f>
        <v>-328.575020801823</v>
      </c>
      <c r="DI295" s="124">
        <f>DI294-DD294</f>
        <v>268.608072853952</v>
      </c>
      <c r="DJ295" s="125">
        <f>DJ294-DI294</f>
        <v>-83.2119570843622</v>
      </c>
      <c r="DK295" s="125">
        <f>DK294-DJ294</f>
        <v>47.8747463517625</v>
      </c>
      <c r="DL295" s="125">
        <f>DL294-DK294</f>
        <v>408.213978389989</v>
      </c>
      <c r="DM295" s="125">
        <f>DM294-DL294</f>
        <v>-365.782953369588</v>
      </c>
      <c r="DN295" s="124">
        <f>DN294-DI294</f>
        <v>7.09381428780148</v>
      </c>
      <c r="DO295" s="125">
        <f>DO294-DN294</f>
        <v>-62.6479439007423</v>
      </c>
      <c r="DP295" s="125">
        <f>DP294-DO294</f>
        <v>24.6168710348541</v>
      </c>
      <c r="DQ295" s="125">
        <f>DQ294-DP294</f>
        <v>416.923071310086</v>
      </c>
      <c r="DR295" s="125">
        <f>DR294-DQ294</f>
        <v>-360.533209301303</v>
      </c>
      <c r="DS295" s="124">
        <f>DS294-DN294</f>
        <v>18.3587891428951</v>
      </c>
    </row>
    <row r="296" spans="1:123">
      <c r="A296" s="132"/>
      <c r="B296" s="33"/>
      <c r="C296" s="131"/>
      <c r="D296" s="132"/>
      <c r="E296" s="132"/>
      <c r="F296" s="132"/>
      <c r="G296" s="132"/>
      <c r="H296" s="131"/>
      <c r="I296" s="132"/>
      <c r="J296" s="132"/>
      <c r="K296" s="132"/>
      <c r="L296" s="132"/>
      <c r="M296" s="131"/>
      <c r="N296" s="132"/>
      <c r="O296" s="132"/>
      <c r="P296" s="132"/>
      <c r="Q296" s="132"/>
      <c r="R296" s="124"/>
      <c r="S296" s="132"/>
      <c r="T296" s="132"/>
      <c r="U296" s="132"/>
      <c r="V296" s="132"/>
      <c r="W296" s="124"/>
      <c r="X296" s="132"/>
      <c r="Y296" s="132"/>
      <c r="Z296" s="132"/>
      <c r="AA296" s="132"/>
      <c r="AB296" s="124"/>
      <c r="AC296" s="132"/>
      <c r="AD296" s="132"/>
      <c r="AE296" s="132"/>
      <c r="AF296" s="132"/>
      <c r="AG296" s="124"/>
      <c r="AH296" s="132"/>
      <c r="AI296" s="132"/>
      <c r="AJ296" s="132"/>
      <c r="AK296" s="132"/>
      <c r="AL296" s="124"/>
      <c r="AM296" s="132"/>
      <c r="AN296" s="132"/>
      <c r="AO296" s="132"/>
      <c r="AP296" s="132"/>
      <c r="AQ296" s="124"/>
      <c r="AV296" s="124"/>
      <c r="BA296" s="124"/>
      <c r="BF296" s="124"/>
      <c r="BK296" s="124"/>
      <c r="BP296" s="124"/>
      <c r="BU296" s="124"/>
      <c r="BZ296" s="124"/>
      <c r="CE296" s="124"/>
      <c r="CJ296" s="124"/>
      <c r="CO296" s="124"/>
      <c r="CT296" s="124"/>
      <c r="CY296" s="124"/>
      <c r="DD296" s="124"/>
      <c r="DI296" s="124"/>
      <c r="DN296" s="124"/>
      <c r="DS296" s="124"/>
    </row>
    <row r="297" spans="1:123">
      <c r="A297" s="132"/>
      <c r="B297" s="60" t="s">
        <v>71</v>
      </c>
      <c r="C297" s="131"/>
      <c r="D297" s="132"/>
      <c r="E297" s="132"/>
      <c r="F297" s="132"/>
      <c r="G297" s="132"/>
      <c r="H297" s="131"/>
      <c r="I297" s="132"/>
      <c r="J297" s="132"/>
      <c r="K297" s="132"/>
      <c r="L297" s="132"/>
      <c r="M297" s="131"/>
      <c r="N297" s="132"/>
      <c r="O297" s="132"/>
      <c r="P297" s="132"/>
      <c r="Q297" s="132"/>
      <c r="R297" s="124">
        <f>R42</f>
        <v>146.302153</v>
      </c>
      <c r="S297" s="132"/>
      <c r="T297" s="132"/>
      <c r="U297" s="132"/>
      <c r="V297" s="132"/>
      <c r="W297" s="124">
        <f>W42</f>
        <v>179.452393</v>
      </c>
      <c r="X297" s="132"/>
      <c r="Y297" s="132"/>
      <c r="Z297" s="132"/>
      <c r="AA297" s="132"/>
      <c r="AB297" s="124">
        <f>AB42</f>
        <v>223.011</v>
      </c>
      <c r="AC297" s="132"/>
      <c r="AD297" s="132"/>
      <c r="AE297" s="132"/>
      <c r="AF297" s="132"/>
      <c r="AG297" s="124">
        <f>AG42</f>
        <v>394.947</v>
      </c>
      <c r="AH297" s="132"/>
      <c r="AI297" s="132"/>
      <c r="AJ297" s="132"/>
      <c r="AK297" s="132"/>
      <c r="AL297" s="124">
        <f>AL42</f>
        <v>569.325</v>
      </c>
      <c r="AM297" s="132"/>
      <c r="AN297" s="132"/>
      <c r="AO297" s="132"/>
      <c r="AP297" s="132"/>
      <c r="AQ297" s="124">
        <f>AQ42</f>
        <v>762.826</v>
      </c>
      <c r="AV297" s="124">
        <f>AV42</f>
        <v>840.076</v>
      </c>
      <c r="BA297" s="124">
        <f>BA42</f>
        <v>914.18</v>
      </c>
      <c r="BF297" s="124">
        <f>BF42</f>
        <v>997.166</v>
      </c>
      <c r="BK297" s="124">
        <f>BK42</f>
        <v>1199.617</v>
      </c>
      <c r="BP297" s="124">
        <f>BP42</f>
        <v>1407.488</v>
      </c>
      <c r="BU297" s="124">
        <f>BU42</f>
        <v>1816.287</v>
      </c>
      <c r="BZ297" s="124">
        <f>BZ42</f>
        <v>2223.386</v>
      </c>
      <c r="CE297" s="124">
        <f>CE42</f>
        <v>2463.991</v>
      </c>
      <c r="CJ297" s="124">
        <f>CJ42</f>
        <v>3608.565</v>
      </c>
      <c r="CO297" s="124">
        <f>CO42</f>
        <v>4555.268</v>
      </c>
      <c r="CT297" s="124">
        <f>CT42</f>
        <v>5633.114</v>
      </c>
      <c r="CY297" s="124">
        <f>CY42</f>
        <v>6270.811</v>
      </c>
      <c r="DD297" s="124">
        <f>DD42</f>
        <v>6284.132</v>
      </c>
      <c r="DI297" s="124">
        <f>DI42</f>
        <v>5820.60764996748</v>
      </c>
      <c r="DN297" s="124">
        <f>DN42</f>
        <v>5557.36726999897</v>
      </c>
      <c r="DS297" s="124">
        <f>DS42</f>
        <v>5608.87776331851</v>
      </c>
    </row>
    <row r="298" spans="1:123">
      <c r="A298" s="132"/>
      <c r="B298" s="60" t="s">
        <v>202</v>
      </c>
      <c r="C298" s="131"/>
      <c r="D298" s="132"/>
      <c r="E298" s="132"/>
      <c r="F298" s="132"/>
      <c r="G298" s="132"/>
      <c r="H298" s="131"/>
      <c r="I298" s="132"/>
      <c r="J298" s="132"/>
      <c r="K298" s="132"/>
      <c r="L298" s="132"/>
      <c r="M298" s="131"/>
      <c r="N298" s="132"/>
      <c r="O298" s="132"/>
      <c r="P298" s="132"/>
      <c r="Q298" s="132"/>
      <c r="R298" s="124">
        <f>R279</f>
        <v>32.8601605</v>
      </c>
      <c r="S298" s="132"/>
      <c r="T298" s="132"/>
      <c r="U298" s="132"/>
      <c r="V298" s="132"/>
      <c r="W298" s="124">
        <f>W279</f>
        <v>45.571604</v>
      </c>
      <c r="X298" s="132"/>
      <c r="Y298" s="132"/>
      <c r="Z298" s="132"/>
      <c r="AA298" s="132"/>
      <c r="AB298" s="124">
        <f>AB279</f>
        <v>48.0605</v>
      </c>
      <c r="AC298" s="132"/>
      <c r="AD298" s="132"/>
      <c r="AE298" s="132"/>
      <c r="AF298" s="132"/>
      <c r="AG298" s="124">
        <f>AG279</f>
        <v>50.7695</v>
      </c>
      <c r="AH298" s="132"/>
      <c r="AI298" s="132"/>
      <c r="AJ298" s="132"/>
      <c r="AK298" s="132"/>
      <c r="AL298" s="124">
        <f>AL279</f>
        <v>80.783</v>
      </c>
      <c r="AM298" s="132"/>
      <c r="AN298" s="132"/>
      <c r="AO298" s="132"/>
      <c r="AP298" s="132"/>
      <c r="AQ298" s="124">
        <f>AQ279</f>
        <v>138.25125</v>
      </c>
      <c r="AV298" s="124">
        <f>AV279</f>
        <v>174.74</v>
      </c>
      <c r="BA298" s="124">
        <f>BA279</f>
        <v>197.9635</v>
      </c>
      <c r="BF298" s="124">
        <f>BF279</f>
        <v>289.717</v>
      </c>
      <c r="BK298" s="124">
        <f>BK279</f>
        <v>306.61375</v>
      </c>
      <c r="BP298" s="124">
        <f>BP279</f>
        <v>336.693</v>
      </c>
      <c r="BU298" s="124">
        <f>BU279</f>
        <v>416.7375</v>
      </c>
      <c r="BZ298" s="124">
        <f>BZ279</f>
        <v>520.72875</v>
      </c>
      <c r="CE298" s="124">
        <f>CE279</f>
        <v>679.2105</v>
      </c>
      <c r="CJ298" s="124">
        <f>CJ279</f>
        <v>858.27675</v>
      </c>
      <c r="CO298" s="124">
        <f>CO279</f>
        <v>1481.54975</v>
      </c>
      <c r="CT298" s="124">
        <f>CT279</f>
        <v>1557.07125</v>
      </c>
      <c r="CY298" s="124">
        <f>CY279</f>
        <v>1504.321</v>
      </c>
      <c r="DD298" s="124">
        <f>DD279</f>
        <v>1768.3145</v>
      </c>
      <c r="DI298" s="124">
        <f>DI279</f>
        <v>1804.75676638987</v>
      </c>
      <c r="DN298" s="124">
        <f>DN279</f>
        <v>1811.73644166145</v>
      </c>
      <c r="DS298" s="124">
        <f>DS279</f>
        <v>1830.96180780314</v>
      </c>
    </row>
    <row r="299" spans="1:123">
      <c r="A299" s="132"/>
      <c r="B299" s="39" t="s">
        <v>215</v>
      </c>
      <c r="C299" s="131"/>
      <c r="D299" s="132"/>
      <c r="E299" s="132"/>
      <c r="F299" s="132"/>
      <c r="G299" s="132"/>
      <c r="H299" s="131"/>
      <c r="I299" s="132"/>
      <c r="J299" s="132"/>
      <c r="K299" s="132"/>
      <c r="L299" s="132"/>
      <c r="M299" s="131"/>
      <c r="N299" s="190"/>
      <c r="O299" s="190"/>
      <c r="P299" s="190"/>
      <c r="Q299" s="190"/>
      <c r="R299" s="694">
        <f>R297/R298</f>
        <v>4.45226531988485</v>
      </c>
      <c r="S299" s="190"/>
      <c r="T299" s="190"/>
      <c r="U299" s="190"/>
      <c r="V299" s="190"/>
      <c r="W299" s="694">
        <f>W297/W298</f>
        <v>3.93781164691943</v>
      </c>
      <c r="X299" s="190"/>
      <c r="Y299" s="190"/>
      <c r="Z299" s="190"/>
      <c r="AA299" s="190"/>
      <c r="AB299" s="694">
        <f>AB297/AB298</f>
        <v>4.64021389706724</v>
      </c>
      <c r="AC299" s="190"/>
      <c r="AD299" s="190"/>
      <c r="AE299" s="190"/>
      <c r="AF299" s="190"/>
      <c r="AG299" s="694">
        <f>AG297/AG298</f>
        <v>7.77921783748116</v>
      </c>
      <c r="AH299" s="132"/>
      <c r="AI299" s="132"/>
      <c r="AJ299" s="132"/>
      <c r="AK299" s="132"/>
      <c r="AL299" s="694">
        <f>AL297/AL298</f>
        <v>7.04758426896748</v>
      </c>
      <c r="AM299" s="132"/>
      <c r="AN299" s="132"/>
      <c r="AO299" s="132"/>
      <c r="AP299" s="132"/>
      <c r="AQ299" s="694">
        <f>AQ297/AQ298</f>
        <v>5.51767886366308</v>
      </c>
      <c r="AR299" s="132"/>
      <c r="AS299" s="132"/>
      <c r="AT299" s="132"/>
      <c r="AU299" s="132"/>
      <c r="AV299" s="694">
        <f>AV297/AV298</f>
        <v>4.80757697150052</v>
      </c>
      <c r="AW299" s="132"/>
      <c r="AX299" s="132"/>
      <c r="AY299" s="132"/>
      <c r="AZ299" s="132"/>
      <c r="BA299" s="694">
        <f>BA297/BA298</f>
        <v>4.61792199067</v>
      </c>
      <c r="BB299" s="132"/>
      <c r="BC299" s="132"/>
      <c r="BD299" s="132"/>
      <c r="BE299" s="132"/>
      <c r="BF299" s="694">
        <f>BF297/BF298</f>
        <v>3.44186223107377</v>
      </c>
      <c r="BG299" s="132"/>
      <c r="BH299" s="132"/>
      <c r="BI299" s="132"/>
      <c r="BJ299" s="132"/>
      <c r="BK299" s="694">
        <f>BK297/BK298</f>
        <v>3.91246967887122</v>
      </c>
      <c r="BL299" s="132"/>
      <c r="BM299" s="132"/>
      <c r="BN299" s="132"/>
      <c r="BO299" s="132"/>
      <c r="BP299" s="694">
        <f>BP297/BP298</f>
        <v>4.18033044940049</v>
      </c>
      <c r="BQ299" s="190"/>
      <c r="BR299" s="190"/>
      <c r="BS299" s="190"/>
      <c r="BT299" s="190"/>
      <c r="BU299" s="694">
        <f>BU297/BU298</f>
        <v>4.35834788086025</v>
      </c>
      <c r="BV299" s="190"/>
      <c r="BW299" s="190"/>
      <c r="BX299" s="190"/>
      <c r="BY299" s="190"/>
      <c r="BZ299" s="694">
        <f>BZ297/BZ298</f>
        <v>4.26975848750429</v>
      </c>
      <c r="CA299" s="190"/>
      <c r="CB299" s="190"/>
      <c r="CC299" s="190"/>
      <c r="CD299" s="190"/>
      <c r="CE299" s="694">
        <f>CE297/CE298</f>
        <v>3.62772807546409</v>
      </c>
      <c r="CF299" s="190"/>
      <c r="CG299" s="190"/>
      <c r="CH299" s="190"/>
      <c r="CI299" s="190"/>
      <c r="CJ299" s="694">
        <f>CJ297/CJ298</f>
        <v>4.20443056391776</v>
      </c>
      <c r="CK299" s="190"/>
      <c r="CL299" s="190"/>
      <c r="CM299" s="190"/>
      <c r="CN299" s="190"/>
      <c r="CO299" s="694">
        <f>CO297/CO298</f>
        <v>3.07466421562961</v>
      </c>
      <c r="CP299" s="190"/>
      <c r="CQ299" s="190"/>
      <c r="CR299" s="190"/>
      <c r="CS299" s="190"/>
      <c r="CT299" s="694">
        <f>CT297/CT298</f>
        <v>3.61776251407892</v>
      </c>
      <c r="CU299" s="190"/>
      <c r="CV299" s="190"/>
      <c r="CW299" s="190"/>
      <c r="CX299" s="190"/>
      <c r="CY299" s="694">
        <f>CY297/CY298</f>
        <v>4.16853251400466</v>
      </c>
      <c r="CZ299" s="190"/>
      <c r="DA299" s="190"/>
      <c r="DB299" s="190"/>
      <c r="DC299" s="190"/>
      <c r="DD299" s="694">
        <f>DD297/DD298</f>
        <v>3.55374114729026</v>
      </c>
      <c r="DE299" s="190"/>
      <c r="DF299" s="190"/>
      <c r="DG299" s="190"/>
      <c r="DH299" s="190"/>
      <c r="DI299" s="694">
        <f>DI297/DI298</f>
        <v>3.22514798579238</v>
      </c>
      <c r="DJ299" s="190"/>
      <c r="DK299" s="190"/>
      <c r="DL299" s="190"/>
      <c r="DM299" s="190"/>
      <c r="DN299" s="694">
        <f>DN297/DN298</f>
        <v>3.06742589165045</v>
      </c>
      <c r="DO299" s="190"/>
      <c r="DP299" s="190"/>
      <c r="DQ299" s="190"/>
      <c r="DR299" s="190"/>
      <c r="DS299" s="694">
        <f>DS297/DS298</f>
        <v>3.06335049667052</v>
      </c>
    </row>
    <row r="300" spans="1:123">
      <c r="A300" s="132"/>
      <c r="B300" s="39"/>
      <c r="C300" s="131"/>
      <c r="D300" s="132"/>
      <c r="E300" s="132"/>
      <c r="F300" s="132"/>
      <c r="G300" s="132"/>
      <c r="H300" s="131"/>
      <c r="I300" s="132"/>
      <c r="J300" s="132"/>
      <c r="K300" s="132"/>
      <c r="L300" s="132"/>
      <c r="M300" s="131"/>
      <c r="N300" s="190"/>
      <c r="O300" s="190"/>
      <c r="P300" s="190"/>
      <c r="Q300" s="190"/>
      <c r="R300" s="131"/>
      <c r="S300" s="190"/>
      <c r="T300" s="190"/>
      <c r="U300" s="190"/>
      <c r="V300" s="190"/>
      <c r="W300" s="131"/>
      <c r="X300" s="190"/>
      <c r="Y300" s="190"/>
      <c r="Z300" s="190"/>
      <c r="AA300" s="190"/>
      <c r="AB300" s="131"/>
      <c r="AC300" s="190"/>
      <c r="AD300" s="190"/>
      <c r="AE300" s="190"/>
      <c r="AF300" s="190"/>
      <c r="AG300" s="131"/>
      <c r="AH300" s="132"/>
      <c r="AI300" s="132"/>
      <c r="AJ300" s="132"/>
      <c r="AK300" s="132"/>
      <c r="AL300" s="131"/>
      <c r="AM300" s="132"/>
      <c r="AN300" s="132"/>
      <c r="AO300" s="132"/>
      <c r="AP300" s="132"/>
      <c r="AQ300" s="131"/>
      <c r="AR300" s="132"/>
      <c r="AS300" s="132"/>
      <c r="AT300" s="132"/>
      <c r="AU300" s="132"/>
      <c r="AV300" s="131"/>
      <c r="AW300" s="132"/>
      <c r="AX300" s="132"/>
      <c r="AY300" s="132"/>
      <c r="AZ300" s="132"/>
      <c r="BA300" s="131"/>
      <c r="BB300" s="132"/>
      <c r="BC300" s="132"/>
      <c r="BD300" s="132"/>
      <c r="BE300" s="132"/>
      <c r="BF300" s="131"/>
      <c r="BG300" s="132"/>
      <c r="BH300" s="132"/>
      <c r="BI300" s="132"/>
      <c r="BJ300" s="132"/>
      <c r="BK300" s="131"/>
      <c r="BL300" s="132"/>
      <c r="BM300" s="132"/>
      <c r="BN300" s="132"/>
      <c r="BO300" s="132"/>
      <c r="BP300" s="131"/>
      <c r="BQ300" s="190"/>
      <c r="BR300" s="190"/>
      <c r="BS300" s="190"/>
      <c r="BT300" s="190"/>
      <c r="BU300" s="131"/>
      <c r="BV300" s="190"/>
      <c r="BW300" s="190"/>
      <c r="BX300" s="190"/>
      <c r="BY300" s="190"/>
      <c r="BZ300" s="131"/>
      <c r="CA300" s="190"/>
      <c r="CB300" s="190"/>
      <c r="CC300" s="190"/>
      <c r="CD300" s="190"/>
      <c r="CE300" s="131"/>
      <c r="CF300" s="190"/>
      <c r="CG300" s="190"/>
      <c r="CH300" s="190"/>
      <c r="CI300" s="190"/>
      <c r="CJ300" s="131"/>
      <c r="CK300" s="190"/>
      <c r="CL300" s="190"/>
      <c r="CM300" s="190"/>
      <c r="CN300" s="190"/>
      <c r="CO300" s="131"/>
      <c r="CP300" s="190"/>
      <c r="CQ300" s="190"/>
      <c r="CR300" s="190"/>
      <c r="CS300" s="190"/>
      <c r="CT300" s="131"/>
      <c r="CU300" s="190"/>
      <c r="CV300" s="190"/>
      <c r="CW300" s="190"/>
      <c r="CX300" s="190"/>
      <c r="CY300" s="131"/>
      <c r="CZ300" s="190"/>
      <c r="DA300" s="190"/>
      <c r="DB300" s="190"/>
      <c r="DC300" s="190"/>
      <c r="DD300" s="131"/>
      <c r="DE300" s="190"/>
      <c r="DF300" s="190"/>
      <c r="DG300" s="190"/>
      <c r="DH300" s="190"/>
      <c r="DI300" s="131"/>
      <c r="DJ300" s="190"/>
      <c r="DK300" s="190"/>
      <c r="DL300" s="190"/>
      <c r="DM300" s="190"/>
      <c r="DN300" s="131"/>
      <c r="DO300" s="190"/>
      <c r="DP300" s="190"/>
      <c r="DQ300" s="190"/>
      <c r="DR300" s="190"/>
      <c r="DS300" s="131"/>
    </row>
    <row r="301" spans="1:123">
      <c r="A301" s="132"/>
      <c r="B301" s="184" t="s">
        <v>216</v>
      </c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7"/>
      <c r="AL301" s="117"/>
      <c r="AM301" s="117"/>
      <c r="AN301" s="117"/>
      <c r="AO301" s="117"/>
      <c r="AP301" s="117"/>
      <c r="AQ301" s="117"/>
      <c r="AR301" s="117"/>
      <c r="AS301" s="117"/>
      <c r="AT301" s="117"/>
      <c r="AU301" s="117"/>
      <c r="AV301" s="117"/>
      <c r="AW301" s="117"/>
      <c r="AX301" s="117"/>
      <c r="AY301" s="117"/>
      <c r="AZ301" s="117"/>
      <c r="BA301" s="117"/>
      <c r="BB301" s="117"/>
      <c r="BC301" s="117"/>
      <c r="BD301" s="117"/>
      <c r="BE301" s="117"/>
      <c r="BF301" s="117"/>
      <c r="BG301" s="117"/>
      <c r="BH301" s="117"/>
      <c r="BI301" s="117"/>
      <c r="BJ301" s="117"/>
      <c r="BK301" s="117"/>
      <c r="BL301" s="117"/>
      <c r="BM301" s="117"/>
      <c r="BN301" s="117"/>
      <c r="BO301" s="117"/>
      <c r="BP301" s="117"/>
      <c r="BQ301" s="117"/>
      <c r="BR301" s="117"/>
      <c r="BS301" s="117"/>
      <c r="BT301" s="117"/>
      <c r="BU301" s="117"/>
      <c r="BV301" s="117"/>
      <c r="BW301" s="117"/>
      <c r="BX301" s="117"/>
      <c r="BY301" s="117"/>
      <c r="BZ301" s="117"/>
      <c r="CA301" s="117"/>
      <c r="CB301" s="117"/>
      <c r="CC301" s="117"/>
      <c r="CD301" s="117"/>
      <c r="CE301" s="117"/>
      <c r="CF301" s="117"/>
      <c r="CG301" s="117"/>
      <c r="CH301" s="117"/>
      <c r="CI301" s="117"/>
      <c r="CJ301" s="117"/>
      <c r="CK301" s="117"/>
      <c r="CL301" s="117"/>
      <c r="CM301" s="117"/>
      <c r="CN301" s="117"/>
      <c r="CO301" s="117"/>
      <c r="CP301" s="117"/>
      <c r="CQ301" s="117"/>
      <c r="CR301" s="117"/>
      <c r="CS301" s="117"/>
      <c r="CT301" s="117"/>
      <c r="CU301" s="117"/>
      <c r="CV301" s="117"/>
      <c r="CW301" s="117"/>
      <c r="CX301" s="117"/>
      <c r="CY301" s="117"/>
      <c r="CZ301" s="117"/>
      <c r="DA301" s="117"/>
      <c r="DB301" s="117"/>
      <c r="DC301" s="117"/>
      <c r="DD301" s="117"/>
      <c r="DE301" s="117"/>
      <c r="DF301" s="117"/>
      <c r="DG301" s="117"/>
      <c r="DH301" s="117"/>
      <c r="DI301" s="117"/>
      <c r="DJ301" s="117"/>
      <c r="DK301" s="117"/>
      <c r="DL301" s="117"/>
      <c r="DM301" s="117"/>
      <c r="DN301" s="117"/>
      <c r="DO301" s="117"/>
      <c r="DP301" s="117"/>
      <c r="DQ301" s="117"/>
      <c r="DR301" s="117"/>
      <c r="DS301" s="507"/>
    </row>
    <row r="302" spans="1:123">
      <c r="A302" s="132"/>
      <c r="B302" s="33"/>
      <c r="C302" s="131"/>
      <c r="D302" s="132"/>
      <c r="E302" s="132"/>
      <c r="F302" s="132"/>
      <c r="G302" s="132"/>
      <c r="H302" s="131"/>
      <c r="I302" s="132"/>
      <c r="J302" s="132"/>
      <c r="K302" s="132"/>
      <c r="L302" s="132"/>
      <c r="M302" s="131"/>
      <c r="N302" s="190"/>
      <c r="O302" s="190"/>
      <c r="P302" s="190"/>
      <c r="Q302" s="190"/>
      <c r="R302" s="124"/>
      <c r="S302" s="190"/>
      <c r="T302" s="190"/>
      <c r="U302" s="190"/>
      <c r="V302" s="190"/>
      <c r="W302" s="124"/>
      <c r="X302" s="190"/>
      <c r="Y302" s="190"/>
      <c r="Z302" s="190"/>
      <c r="AA302" s="190"/>
      <c r="AB302" s="124"/>
      <c r="AC302" s="190"/>
      <c r="AD302" s="190"/>
      <c r="AE302" s="190"/>
      <c r="AF302" s="190"/>
      <c r="AG302" s="124"/>
      <c r="AH302" s="132"/>
      <c r="AI302" s="132"/>
      <c r="AJ302" s="132"/>
      <c r="AK302" s="132"/>
      <c r="AL302" s="124"/>
      <c r="AM302" s="132"/>
      <c r="AN302" s="132"/>
      <c r="AO302" s="132"/>
      <c r="AP302" s="132"/>
      <c r="AQ302" s="124"/>
      <c r="AV302" s="124"/>
      <c r="BA302" s="124"/>
      <c r="BF302" s="124"/>
      <c r="BK302" s="124"/>
      <c r="BP302" s="124"/>
      <c r="BU302" s="124"/>
      <c r="BZ302" s="124"/>
      <c r="CE302" s="124"/>
      <c r="CJ302" s="124"/>
      <c r="CO302" s="124"/>
      <c r="CT302" s="124"/>
      <c r="CY302" s="124"/>
      <c r="DD302" s="124"/>
      <c r="DI302" s="124"/>
      <c r="DN302" s="124"/>
      <c r="DS302" s="124"/>
    </row>
    <row r="303" spans="1:123">
      <c r="A303" s="132"/>
      <c r="B303" s="33" t="s">
        <v>217</v>
      </c>
      <c r="C303" s="131"/>
      <c r="D303" s="132"/>
      <c r="E303" s="132"/>
      <c r="F303" s="132"/>
      <c r="G303" s="132"/>
      <c r="H303" s="131"/>
      <c r="I303" s="132"/>
      <c r="J303" s="132"/>
      <c r="K303" s="132"/>
      <c r="L303" s="132"/>
      <c r="M303" s="124">
        <f>M196</f>
        <v>0</v>
      </c>
      <c r="N303" s="132"/>
      <c r="O303" s="132"/>
      <c r="P303" s="132"/>
      <c r="Q303" s="132"/>
      <c r="R303" s="124">
        <f>R196</f>
        <v>0</v>
      </c>
      <c r="S303" s="132"/>
      <c r="T303" s="132"/>
      <c r="U303" s="132"/>
      <c r="V303" s="132"/>
      <c r="W303" s="124">
        <f>W196</f>
        <v>0</v>
      </c>
      <c r="X303" s="132"/>
      <c r="Y303" s="132"/>
      <c r="Z303" s="132"/>
      <c r="AA303" s="132"/>
      <c r="AB303" s="124">
        <f>AB196</f>
        <v>0</v>
      </c>
      <c r="AC303" s="132"/>
      <c r="AD303" s="132"/>
      <c r="AE303" s="132"/>
      <c r="AF303" s="132"/>
      <c r="AG303" s="124">
        <f>AG196</f>
        <v>0</v>
      </c>
      <c r="AH303" s="132"/>
      <c r="AI303" s="132"/>
      <c r="AJ303" s="132"/>
      <c r="AK303" s="132"/>
      <c r="AL303" s="124">
        <f>AL196</f>
        <v>0</v>
      </c>
      <c r="AM303" s="125">
        <f>AM196</f>
        <v>0</v>
      </c>
      <c r="AN303" s="125">
        <f>AN196</f>
        <v>0</v>
      </c>
      <c r="AO303" s="125">
        <f>AO196</f>
        <v>0</v>
      </c>
      <c r="AP303" s="125">
        <f>AP196</f>
        <v>0</v>
      </c>
      <c r="AQ303" s="124">
        <f>AP303</f>
        <v>0</v>
      </c>
      <c r="AR303" s="125">
        <f>AR196</f>
        <v>0</v>
      </c>
      <c r="AS303" s="125">
        <f>AS196</f>
        <v>0</v>
      </c>
      <c r="AT303" s="125">
        <f>AT196</f>
        <v>0</v>
      </c>
      <c r="AU303" s="125">
        <f>AU196</f>
        <v>0</v>
      </c>
      <c r="AV303" s="124">
        <f>AU303</f>
        <v>0</v>
      </c>
      <c r="AW303" s="125">
        <f>AW196</f>
        <v>0</v>
      </c>
      <c r="AX303" s="125">
        <f>AX196</f>
        <v>0</v>
      </c>
      <c r="AY303" s="125">
        <f>AY196</f>
        <v>0</v>
      </c>
      <c r="AZ303" s="125">
        <f>AZ196</f>
        <v>0</v>
      </c>
      <c r="BA303" s="124">
        <f>AZ303</f>
        <v>0</v>
      </c>
      <c r="BB303" s="125">
        <f>BB196</f>
        <v>0</v>
      </c>
      <c r="BC303" s="125">
        <f>BC196</f>
        <v>0</v>
      </c>
      <c r="BD303" s="125">
        <f>BD196</f>
        <v>0</v>
      </c>
      <c r="BE303" s="125">
        <f>BE196</f>
        <v>0</v>
      </c>
      <c r="BF303" s="124">
        <f>BE303</f>
        <v>0</v>
      </c>
      <c r="BG303" s="125">
        <f>BG196</f>
        <v>0</v>
      </c>
      <c r="BH303" s="125">
        <f>BH196</f>
        <v>0</v>
      </c>
      <c r="BI303" s="125">
        <f>BI196</f>
        <v>0</v>
      </c>
      <c r="BJ303" s="125">
        <f>BJ196</f>
        <v>0</v>
      </c>
      <c r="BK303" s="124">
        <f>BJ303</f>
        <v>0</v>
      </c>
      <c r="BL303" s="125">
        <f>BL196</f>
        <v>0</v>
      </c>
      <c r="BM303" s="125">
        <f>BM196</f>
        <v>0</v>
      </c>
      <c r="BN303" s="125">
        <f>BN196</f>
        <v>0</v>
      </c>
      <c r="BO303" s="125">
        <f>BO196</f>
        <v>0</v>
      </c>
      <c r="BP303" s="124">
        <f>BO303</f>
        <v>0</v>
      </c>
      <c r="BQ303" s="125">
        <f>BQ196</f>
        <v>0</v>
      </c>
      <c r="BR303" s="125">
        <f>BR196</f>
        <v>100</v>
      </c>
      <c r="BS303" s="125">
        <f>BS196</f>
        <v>0</v>
      </c>
      <c r="BT303" s="125">
        <f>BT196</f>
        <v>0</v>
      </c>
      <c r="BU303" s="124">
        <f>BT303</f>
        <v>0</v>
      </c>
      <c r="BV303" s="125">
        <f>BV196</f>
        <v>0</v>
      </c>
      <c r="BW303" s="125">
        <f>BW196</f>
        <v>0</v>
      </c>
      <c r="BX303" s="125">
        <f>BX196</f>
        <v>0</v>
      </c>
      <c r="BY303" s="125">
        <f>BY196</f>
        <v>0</v>
      </c>
      <c r="BZ303" s="124">
        <f>BY303</f>
        <v>0</v>
      </c>
      <c r="CA303" s="125">
        <f>CA196</f>
        <v>0</v>
      </c>
      <c r="CB303" s="125">
        <f>CB196</f>
        <v>0</v>
      </c>
      <c r="CC303" s="125">
        <f>CC196</f>
        <v>0</v>
      </c>
      <c r="CD303" s="125">
        <f>CD196</f>
        <v>0</v>
      </c>
      <c r="CE303" s="124">
        <f>CD303</f>
        <v>0</v>
      </c>
      <c r="CF303" s="125">
        <f>CF196</f>
        <v>0</v>
      </c>
      <c r="CG303" s="125">
        <f>CG196</f>
        <v>0</v>
      </c>
      <c r="CH303" s="172">
        <f>CH196</f>
        <v>0</v>
      </c>
      <c r="CI303" s="125">
        <f>CI196</f>
        <v>0</v>
      </c>
      <c r="CJ303" s="124">
        <f>CI303</f>
        <v>0</v>
      </c>
      <c r="CK303" s="125">
        <f>CK196</f>
        <v>0</v>
      </c>
      <c r="CL303" s="125">
        <f>CL196</f>
        <v>0</v>
      </c>
      <c r="CM303" s="172">
        <f>CM196</f>
        <v>0</v>
      </c>
      <c r="CN303" s="125">
        <f>CN196</f>
        <v>0</v>
      </c>
      <c r="CO303" s="124">
        <f>CN303</f>
        <v>0</v>
      </c>
      <c r="CP303" s="125">
        <f>CP196</f>
        <v>0</v>
      </c>
      <c r="CQ303" s="125">
        <f>CQ196</f>
        <v>0</v>
      </c>
      <c r="CR303" s="172">
        <f>CR196</f>
        <v>0</v>
      </c>
      <c r="CS303" s="125">
        <f>CS196</f>
        <v>0</v>
      </c>
      <c r="CT303" s="124">
        <f>CS303</f>
        <v>0</v>
      </c>
      <c r="CU303" s="125">
        <f>CU196</f>
        <v>0</v>
      </c>
      <c r="CV303" s="125">
        <f>CV196</f>
        <v>0</v>
      </c>
      <c r="CW303" s="172">
        <f>CW196</f>
        <v>0</v>
      </c>
      <c r="CX303" s="125">
        <f>CX196</f>
        <v>0</v>
      </c>
      <c r="CY303" s="124">
        <f>CX303</f>
        <v>0</v>
      </c>
      <c r="CZ303" s="125">
        <f>CZ196</f>
        <v>0</v>
      </c>
      <c r="DA303" s="125">
        <f>DA196</f>
        <v>0</v>
      </c>
      <c r="DB303" s="172">
        <f>DB196</f>
        <v>0</v>
      </c>
      <c r="DC303" s="125">
        <f>DC196</f>
        <v>0</v>
      </c>
      <c r="DD303" s="124">
        <f>DC303</f>
        <v>0</v>
      </c>
      <c r="DE303" s="125">
        <f>DE196</f>
        <v>0</v>
      </c>
      <c r="DF303" s="125">
        <f>DF196</f>
        <v>0</v>
      </c>
      <c r="DG303" s="125">
        <f>DG196</f>
        <v>0</v>
      </c>
      <c r="DH303" s="125">
        <f>DH196</f>
        <v>0</v>
      </c>
      <c r="DI303" s="124">
        <f>DH303</f>
        <v>0</v>
      </c>
      <c r="DJ303" s="125">
        <f>DJ196</f>
        <v>0</v>
      </c>
      <c r="DK303" s="125">
        <f>DK196</f>
        <v>0</v>
      </c>
      <c r="DL303" s="125">
        <f>DL196</f>
        <v>0</v>
      </c>
      <c r="DM303" s="125">
        <f>DM196</f>
        <v>0</v>
      </c>
      <c r="DN303" s="124">
        <f>DM303</f>
        <v>0</v>
      </c>
      <c r="DO303" s="125">
        <f>DO196</f>
        <v>0</v>
      </c>
      <c r="DP303" s="125">
        <f>DP196</f>
        <v>0</v>
      </c>
      <c r="DQ303" s="125">
        <f>DQ196</f>
        <v>0</v>
      </c>
      <c r="DR303" s="125">
        <f>DR196</f>
        <v>0</v>
      </c>
      <c r="DS303" s="124">
        <f>DR303</f>
        <v>0</v>
      </c>
    </row>
    <row r="304" spans="1:123">
      <c r="A304" s="132"/>
      <c r="B304" s="33" t="s">
        <v>218</v>
      </c>
      <c r="C304" s="131"/>
      <c r="D304" s="132"/>
      <c r="E304" s="132"/>
      <c r="F304" s="132"/>
      <c r="G304" s="132"/>
      <c r="H304" s="131"/>
      <c r="I304" s="132"/>
      <c r="J304" s="132"/>
      <c r="K304" s="132"/>
      <c r="L304" s="132"/>
      <c r="M304" s="124">
        <f>M202</f>
        <v>0</v>
      </c>
      <c r="N304" s="132"/>
      <c r="O304" s="132"/>
      <c r="P304" s="132"/>
      <c r="Q304" s="132"/>
      <c r="R304" s="124">
        <f>R202</f>
        <v>0</v>
      </c>
      <c r="S304" s="132"/>
      <c r="T304" s="132"/>
      <c r="U304" s="132"/>
      <c r="V304" s="132"/>
      <c r="W304" s="124">
        <f>W202</f>
        <v>0</v>
      </c>
      <c r="X304" s="132"/>
      <c r="Y304" s="132"/>
      <c r="Z304" s="132"/>
      <c r="AA304" s="132"/>
      <c r="AB304" s="124">
        <f>AB202</f>
        <v>0</v>
      </c>
      <c r="AC304" s="132"/>
      <c r="AD304" s="132"/>
      <c r="AE304" s="132"/>
      <c r="AF304" s="132"/>
      <c r="AG304" s="124">
        <f>AG202</f>
        <v>0</v>
      </c>
      <c r="AH304" s="132"/>
      <c r="AI304" s="132"/>
      <c r="AJ304" s="132"/>
      <c r="AK304" s="132"/>
      <c r="AL304" s="124">
        <f>AL202</f>
        <v>0</v>
      </c>
      <c r="AM304" s="125">
        <f>AM202</f>
        <v>0</v>
      </c>
      <c r="AN304" s="125">
        <f>AN202</f>
        <v>0</v>
      </c>
      <c r="AO304" s="125">
        <f>AO202</f>
        <v>0</v>
      </c>
      <c r="AP304" s="125">
        <f>AP202</f>
        <v>0</v>
      </c>
      <c r="AQ304" s="124">
        <f>AP304</f>
        <v>0</v>
      </c>
      <c r="AR304" s="125">
        <f>AR202</f>
        <v>0</v>
      </c>
      <c r="AS304" s="125">
        <f>AS202</f>
        <v>0</v>
      </c>
      <c r="AT304" s="125">
        <f>AT202</f>
        <v>0</v>
      </c>
      <c r="AU304" s="125">
        <f>AU202</f>
        <v>0</v>
      </c>
      <c r="AV304" s="124">
        <f>AU304</f>
        <v>0</v>
      </c>
      <c r="AW304" s="125">
        <f>AW202</f>
        <v>0</v>
      </c>
      <c r="AX304" s="125">
        <f>AX202</f>
        <v>0</v>
      </c>
      <c r="AY304" s="125">
        <f>AY202</f>
        <v>0</v>
      </c>
      <c r="AZ304" s="125">
        <f>AZ202</f>
        <v>0</v>
      </c>
      <c r="BA304" s="124">
        <f>AZ304</f>
        <v>0</v>
      </c>
      <c r="BB304" s="125">
        <f>BB202</f>
        <v>0</v>
      </c>
      <c r="BC304" s="125">
        <f>BC202</f>
        <v>0</v>
      </c>
      <c r="BD304" s="125">
        <f>BD202</f>
        <v>0</v>
      </c>
      <c r="BE304" s="125">
        <f>BE202</f>
        <v>0</v>
      </c>
      <c r="BF304" s="124">
        <f>BE304</f>
        <v>0</v>
      </c>
      <c r="BG304" s="125">
        <f>BG202</f>
        <v>0</v>
      </c>
      <c r="BH304" s="125">
        <f>BH202</f>
        <v>0</v>
      </c>
      <c r="BI304" s="125">
        <f>BI202</f>
        <v>0</v>
      </c>
      <c r="BJ304" s="125">
        <f>BJ202</f>
        <v>0</v>
      </c>
      <c r="BK304" s="124">
        <f>BJ304</f>
        <v>0</v>
      </c>
      <c r="BL304" s="125">
        <f>BL202</f>
        <v>0</v>
      </c>
      <c r="BM304" s="125">
        <f>BM202</f>
        <v>0</v>
      </c>
      <c r="BN304" s="125">
        <f>BN202</f>
        <v>0</v>
      </c>
      <c r="BO304" s="125">
        <f>BO202</f>
        <v>0</v>
      </c>
      <c r="BP304" s="124">
        <f>BO304</f>
        <v>0</v>
      </c>
      <c r="BQ304" s="125">
        <f>BQ202</f>
        <v>0</v>
      </c>
      <c r="BR304" s="125">
        <f>BR202</f>
        <v>0</v>
      </c>
      <c r="BS304" s="125">
        <f>BS202</f>
        <v>0</v>
      </c>
      <c r="BT304" s="125">
        <f>BT202</f>
        <v>0</v>
      </c>
      <c r="BU304" s="124">
        <f>BT304</f>
        <v>0</v>
      </c>
      <c r="BV304" s="125">
        <f>BV202</f>
        <v>0</v>
      </c>
      <c r="BW304" s="125">
        <f>BW202</f>
        <v>0</v>
      </c>
      <c r="BX304" s="125">
        <f>BX202</f>
        <v>0</v>
      </c>
      <c r="BY304" s="125">
        <f>BY202</f>
        <v>0</v>
      </c>
      <c r="BZ304" s="124">
        <f>BY304</f>
        <v>0</v>
      </c>
      <c r="CA304" s="125">
        <f>CA202</f>
        <v>0</v>
      </c>
      <c r="CB304" s="125">
        <f>CB202</f>
        <v>0</v>
      </c>
      <c r="CC304" s="125">
        <f>CC202</f>
        <v>0</v>
      </c>
      <c r="CD304" s="125">
        <f>CD202</f>
        <v>0</v>
      </c>
      <c r="CE304" s="124">
        <f>CD304</f>
        <v>0</v>
      </c>
      <c r="CF304" s="125">
        <f>CF202</f>
        <v>0</v>
      </c>
      <c r="CG304" s="125">
        <f>CG202</f>
        <v>0</v>
      </c>
      <c r="CH304" s="172">
        <f>CH202</f>
        <v>0</v>
      </c>
      <c r="CI304" s="125">
        <f>CI202</f>
        <v>0</v>
      </c>
      <c r="CJ304" s="124">
        <f>CI304</f>
        <v>0</v>
      </c>
      <c r="CK304" s="125">
        <f>CK202</f>
        <v>0</v>
      </c>
      <c r="CL304" s="125">
        <f>CL202</f>
        <v>0</v>
      </c>
      <c r="CM304" s="172">
        <f>CM202</f>
        <v>0</v>
      </c>
      <c r="CN304" s="125">
        <f>CN202</f>
        <v>0</v>
      </c>
      <c r="CO304" s="124">
        <f>CN304</f>
        <v>0</v>
      </c>
      <c r="CP304" s="125">
        <f>CP202</f>
        <v>0</v>
      </c>
      <c r="CQ304" s="125">
        <f>CQ202</f>
        <v>0</v>
      </c>
      <c r="CR304" s="172">
        <f>CR202</f>
        <v>0</v>
      </c>
      <c r="CS304" s="125">
        <f>CS202</f>
        <v>0</v>
      </c>
      <c r="CT304" s="124">
        <f>CS304</f>
        <v>0</v>
      </c>
      <c r="CU304" s="125">
        <f>CU202</f>
        <v>0</v>
      </c>
      <c r="CV304" s="125">
        <f>CV202</f>
        <v>0</v>
      </c>
      <c r="CW304" s="172">
        <f>CW202</f>
        <v>0</v>
      </c>
      <c r="CX304" s="125">
        <f>CX202</f>
        <v>0</v>
      </c>
      <c r="CY304" s="124">
        <f>CX304</f>
        <v>0</v>
      </c>
      <c r="CZ304" s="125">
        <f>CZ202</f>
        <v>0</v>
      </c>
      <c r="DA304" s="125">
        <f>DA202</f>
        <v>0</v>
      </c>
      <c r="DB304" s="172">
        <f>DB202</f>
        <v>0</v>
      </c>
      <c r="DC304" s="125">
        <f>DC202</f>
        <v>0</v>
      </c>
      <c r="DD304" s="124">
        <f>DC304</f>
        <v>0</v>
      </c>
      <c r="DE304" s="125">
        <f>DE202</f>
        <v>0</v>
      </c>
      <c r="DF304" s="125">
        <f>DF202</f>
        <v>0</v>
      </c>
      <c r="DG304" s="125">
        <f>DG202</f>
        <v>0</v>
      </c>
      <c r="DH304" s="125">
        <f>DH202</f>
        <v>0</v>
      </c>
      <c r="DI304" s="124">
        <f>DH304</f>
        <v>0</v>
      </c>
      <c r="DJ304" s="125">
        <f>DJ202</f>
        <v>0</v>
      </c>
      <c r="DK304" s="125">
        <f>DK202</f>
        <v>0</v>
      </c>
      <c r="DL304" s="125">
        <f>DL202</f>
        <v>0</v>
      </c>
      <c r="DM304" s="125">
        <f>DM202</f>
        <v>0</v>
      </c>
      <c r="DN304" s="124">
        <f>DM304</f>
        <v>0</v>
      </c>
      <c r="DO304" s="125">
        <f>DO202</f>
        <v>0</v>
      </c>
      <c r="DP304" s="125">
        <f>DP202</f>
        <v>0</v>
      </c>
      <c r="DQ304" s="125">
        <f>DQ202</f>
        <v>0</v>
      </c>
      <c r="DR304" s="125">
        <f>DR202</f>
        <v>0</v>
      </c>
      <c r="DS304" s="124">
        <f>DR304</f>
        <v>0</v>
      </c>
    </row>
    <row r="305" spans="1:123">
      <c r="A305" s="132"/>
      <c r="B305" s="130" t="s">
        <v>219</v>
      </c>
      <c r="C305" s="131"/>
      <c r="D305" s="132"/>
      <c r="E305" s="132"/>
      <c r="F305" s="132"/>
      <c r="G305" s="132"/>
      <c r="H305" s="131"/>
      <c r="I305" s="132"/>
      <c r="J305" s="132"/>
      <c r="K305" s="132"/>
      <c r="L305" s="132"/>
      <c r="M305" s="131">
        <f>SUM(M303:M304)</f>
        <v>0</v>
      </c>
      <c r="N305" s="132"/>
      <c r="O305" s="132"/>
      <c r="P305" s="132"/>
      <c r="Q305" s="132"/>
      <c r="R305" s="131">
        <f>SUM(R303:R304)</f>
        <v>0</v>
      </c>
      <c r="S305" s="132"/>
      <c r="T305" s="132"/>
      <c r="U305" s="132"/>
      <c r="V305" s="132"/>
      <c r="W305" s="131">
        <f>SUM(W303:W304)</f>
        <v>0</v>
      </c>
      <c r="X305" s="132"/>
      <c r="Y305" s="132"/>
      <c r="Z305" s="132"/>
      <c r="AA305" s="132"/>
      <c r="AB305" s="131">
        <f>SUM(AB303:AB304)</f>
        <v>0</v>
      </c>
      <c r="AC305" s="132"/>
      <c r="AD305" s="132"/>
      <c r="AE305" s="132"/>
      <c r="AF305" s="132"/>
      <c r="AG305" s="131">
        <f>SUM(AG303:AG304)</f>
        <v>0</v>
      </c>
      <c r="AH305" s="132"/>
      <c r="AI305" s="132"/>
      <c r="AJ305" s="132"/>
      <c r="AK305" s="132"/>
      <c r="AL305" s="131">
        <f t="shared" ref="AL305:BN305" si="649">SUM(AL303:AL304)</f>
        <v>0</v>
      </c>
      <c r="AM305" s="132">
        <f t="shared" si="649"/>
        <v>0</v>
      </c>
      <c r="AN305" s="132">
        <f t="shared" si="649"/>
        <v>0</v>
      </c>
      <c r="AO305" s="132">
        <f t="shared" si="649"/>
        <v>0</v>
      </c>
      <c r="AP305" s="132">
        <f t="shared" si="649"/>
        <v>0</v>
      </c>
      <c r="AQ305" s="131">
        <f t="shared" si="649"/>
        <v>0</v>
      </c>
      <c r="AR305" s="132">
        <f t="shared" si="649"/>
        <v>0</v>
      </c>
      <c r="AS305" s="132">
        <f t="shared" si="649"/>
        <v>0</v>
      </c>
      <c r="AT305" s="132">
        <f t="shared" si="649"/>
        <v>0</v>
      </c>
      <c r="AU305" s="132">
        <f t="shared" si="649"/>
        <v>0</v>
      </c>
      <c r="AV305" s="131">
        <f t="shared" si="649"/>
        <v>0</v>
      </c>
      <c r="AW305" s="132">
        <f t="shared" si="649"/>
        <v>0</v>
      </c>
      <c r="AX305" s="132">
        <f t="shared" si="649"/>
        <v>0</v>
      </c>
      <c r="AY305" s="132">
        <f t="shared" si="649"/>
        <v>0</v>
      </c>
      <c r="AZ305" s="132">
        <f t="shared" si="649"/>
        <v>0</v>
      </c>
      <c r="BA305" s="131">
        <f t="shared" si="649"/>
        <v>0</v>
      </c>
      <c r="BB305" s="132">
        <f t="shared" si="649"/>
        <v>0</v>
      </c>
      <c r="BC305" s="132">
        <f t="shared" si="649"/>
        <v>0</v>
      </c>
      <c r="BD305" s="132">
        <f t="shared" si="649"/>
        <v>0</v>
      </c>
      <c r="BE305" s="132">
        <f t="shared" si="649"/>
        <v>0</v>
      </c>
      <c r="BF305" s="131">
        <f t="shared" si="649"/>
        <v>0</v>
      </c>
      <c r="BG305" s="132">
        <f t="shared" si="649"/>
        <v>0</v>
      </c>
      <c r="BH305" s="132">
        <f t="shared" si="649"/>
        <v>0</v>
      </c>
      <c r="BI305" s="132">
        <f t="shared" si="649"/>
        <v>0</v>
      </c>
      <c r="BJ305" s="132">
        <f t="shared" si="649"/>
        <v>0</v>
      </c>
      <c r="BK305" s="131">
        <f t="shared" si="649"/>
        <v>0</v>
      </c>
      <c r="BL305" s="132">
        <f t="shared" si="649"/>
        <v>0</v>
      </c>
      <c r="BM305" s="132">
        <f t="shared" si="649"/>
        <v>0</v>
      </c>
      <c r="BN305" s="132">
        <f t="shared" si="649"/>
        <v>0</v>
      </c>
      <c r="BO305" s="132">
        <f t="shared" ref="BO305:BY305" si="650">SUM(BO303:BO304)</f>
        <v>0</v>
      </c>
      <c r="BP305" s="131">
        <f t="shared" si="650"/>
        <v>0</v>
      </c>
      <c r="BQ305" s="132">
        <f t="shared" si="650"/>
        <v>0</v>
      </c>
      <c r="BR305" s="132">
        <f t="shared" si="650"/>
        <v>100</v>
      </c>
      <c r="BS305" s="132">
        <f t="shared" si="650"/>
        <v>0</v>
      </c>
      <c r="BT305" s="132">
        <f t="shared" si="650"/>
        <v>0</v>
      </c>
      <c r="BU305" s="131">
        <f t="shared" si="650"/>
        <v>0</v>
      </c>
      <c r="BV305" s="132">
        <f t="shared" si="650"/>
        <v>0</v>
      </c>
      <c r="BW305" s="132">
        <f t="shared" si="650"/>
        <v>0</v>
      </c>
      <c r="BX305" s="132">
        <f t="shared" si="650"/>
        <v>0</v>
      </c>
      <c r="BY305" s="132">
        <f t="shared" si="650"/>
        <v>0</v>
      </c>
      <c r="BZ305" s="131">
        <f t="shared" ref="BZ305:CO305" si="651">SUM(BZ303:BZ304)</f>
        <v>0</v>
      </c>
      <c r="CA305" s="132">
        <f t="shared" si="651"/>
        <v>0</v>
      </c>
      <c r="CB305" s="132">
        <f t="shared" si="651"/>
        <v>0</v>
      </c>
      <c r="CC305" s="132">
        <f t="shared" si="651"/>
        <v>0</v>
      </c>
      <c r="CD305" s="132">
        <f t="shared" si="651"/>
        <v>0</v>
      </c>
      <c r="CE305" s="131">
        <f t="shared" si="651"/>
        <v>0</v>
      </c>
      <c r="CF305" s="132">
        <f t="shared" si="651"/>
        <v>0</v>
      </c>
      <c r="CG305" s="132">
        <f t="shared" si="651"/>
        <v>0</v>
      </c>
      <c r="CH305" s="177">
        <f t="shared" si="651"/>
        <v>0</v>
      </c>
      <c r="CI305" s="132">
        <f t="shared" si="651"/>
        <v>0</v>
      </c>
      <c r="CJ305" s="131">
        <f t="shared" si="651"/>
        <v>0</v>
      </c>
      <c r="CK305" s="132">
        <f t="shared" si="651"/>
        <v>0</v>
      </c>
      <c r="CL305" s="132">
        <f t="shared" si="651"/>
        <v>0</v>
      </c>
      <c r="CM305" s="177">
        <f t="shared" si="651"/>
        <v>0</v>
      </c>
      <c r="CN305" s="132">
        <f t="shared" si="651"/>
        <v>0</v>
      </c>
      <c r="CO305" s="131">
        <f t="shared" si="651"/>
        <v>0</v>
      </c>
      <c r="CP305" s="132">
        <f t="shared" ref="CP305:DI305" si="652">SUM(CP303:CP304)</f>
        <v>0</v>
      </c>
      <c r="CQ305" s="132">
        <f t="shared" si="652"/>
        <v>0</v>
      </c>
      <c r="CR305" s="177">
        <f t="shared" si="652"/>
        <v>0</v>
      </c>
      <c r="CS305" s="132">
        <f t="shared" si="652"/>
        <v>0</v>
      </c>
      <c r="CT305" s="131">
        <f t="shared" si="652"/>
        <v>0</v>
      </c>
      <c r="CU305" s="132">
        <f t="shared" si="652"/>
        <v>0</v>
      </c>
      <c r="CV305" s="132">
        <f t="shared" si="652"/>
        <v>0</v>
      </c>
      <c r="CW305" s="177">
        <f t="shared" si="652"/>
        <v>0</v>
      </c>
      <c r="CX305" s="132">
        <f t="shared" si="652"/>
        <v>0</v>
      </c>
      <c r="CY305" s="131">
        <f t="shared" si="652"/>
        <v>0</v>
      </c>
      <c r="CZ305" s="132">
        <f t="shared" si="652"/>
        <v>0</v>
      </c>
      <c r="DA305" s="132">
        <f t="shared" ref="DA305:DB305" si="653">SUM(DA303:DA304)</f>
        <v>0</v>
      </c>
      <c r="DB305" s="177">
        <f t="shared" si="653"/>
        <v>0</v>
      </c>
      <c r="DC305" s="132">
        <f t="shared" si="652"/>
        <v>0</v>
      </c>
      <c r="DD305" s="131">
        <f t="shared" si="652"/>
        <v>0</v>
      </c>
      <c r="DE305" s="132">
        <f t="shared" si="652"/>
        <v>0</v>
      </c>
      <c r="DF305" s="132">
        <f t="shared" si="652"/>
        <v>0</v>
      </c>
      <c r="DG305" s="132">
        <f t="shared" si="652"/>
        <v>0</v>
      </c>
      <c r="DH305" s="132">
        <f t="shared" si="652"/>
        <v>0</v>
      </c>
      <c r="DI305" s="131">
        <f t="shared" si="652"/>
        <v>0</v>
      </c>
      <c r="DJ305" s="132">
        <f t="shared" ref="DJ305:DN305" si="654">SUM(DJ303:DJ304)</f>
        <v>0</v>
      </c>
      <c r="DK305" s="132">
        <f t="shared" si="654"/>
        <v>0</v>
      </c>
      <c r="DL305" s="132">
        <f t="shared" si="654"/>
        <v>0</v>
      </c>
      <c r="DM305" s="132">
        <f t="shared" si="654"/>
        <v>0</v>
      </c>
      <c r="DN305" s="131">
        <f t="shared" si="654"/>
        <v>0</v>
      </c>
      <c r="DO305" s="132">
        <f t="shared" ref="DO305:DS305" si="655">SUM(DO303:DO304)</f>
        <v>0</v>
      </c>
      <c r="DP305" s="132">
        <f t="shared" si="655"/>
        <v>0</v>
      </c>
      <c r="DQ305" s="132">
        <f t="shared" si="655"/>
        <v>0</v>
      </c>
      <c r="DR305" s="132">
        <f t="shared" si="655"/>
        <v>0</v>
      </c>
      <c r="DS305" s="131">
        <f t="shared" si="655"/>
        <v>0</v>
      </c>
    </row>
    <row r="306" spans="1:123">
      <c r="A306" s="132"/>
      <c r="B306" s="33" t="s">
        <v>220</v>
      </c>
      <c r="C306" s="131"/>
      <c r="D306" s="132"/>
      <c r="E306" s="132"/>
      <c r="F306" s="132"/>
      <c r="G306" s="132"/>
      <c r="H306" s="131"/>
      <c r="I306" s="132"/>
      <c r="J306" s="132"/>
      <c r="K306" s="132"/>
      <c r="L306" s="132"/>
      <c r="M306" s="131"/>
      <c r="N306" s="132"/>
      <c r="O306" s="132"/>
      <c r="P306" s="132"/>
      <c r="Q306" s="132"/>
      <c r="R306" s="60">
        <f>AVERAGE(R305,M305)</f>
        <v>0</v>
      </c>
      <c r="S306" s="132"/>
      <c r="T306" s="132"/>
      <c r="U306" s="132"/>
      <c r="V306" s="132"/>
      <c r="W306" s="60">
        <f>AVERAGE(W305,R305)</f>
        <v>0</v>
      </c>
      <c r="X306" s="132"/>
      <c r="Y306" s="132"/>
      <c r="Z306" s="132"/>
      <c r="AA306" s="132"/>
      <c r="AB306" s="60">
        <f>AVERAGE(AB305,W305)</f>
        <v>0</v>
      </c>
      <c r="AC306" s="132"/>
      <c r="AD306" s="132"/>
      <c r="AE306" s="132"/>
      <c r="AF306" s="132"/>
      <c r="AG306" s="60">
        <f>AVERAGE(AG305,AB305)</f>
        <v>0</v>
      </c>
      <c r="AH306" s="132"/>
      <c r="AI306" s="132"/>
      <c r="AJ306" s="132"/>
      <c r="AK306" s="132"/>
      <c r="AL306" s="60">
        <f>AVERAGE(AL305,AG305)</f>
        <v>0</v>
      </c>
      <c r="AM306" s="125">
        <f>AVERAGE(AL305,AM305)</f>
        <v>0</v>
      </c>
      <c r="AN306" s="125">
        <f>AVERAGE(AM305,AN305)</f>
        <v>0</v>
      </c>
      <c r="AO306" s="125">
        <f>AVERAGE(AN305,AO305)</f>
        <v>0</v>
      </c>
      <c r="AP306" s="125">
        <f>AVERAGE(AO305,AP305)</f>
        <v>0</v>
      </c>
      <c r="AQ306" s="60">
        <f>AVERAGE(AM305:AP305)</f>
        <v>0</v>
      </c>
      <c r="AR306" s="125">
        <f>AVERAGE(AQ305,AR305)</f>
        <v>0</v>
      </c>
      <c r="AS306" s="125">
        <f>AVERAGE(AR305,AS305)</f>
        <v>0</v>
      </c>
      <c r="AT306" s="125">
        <f>AVERAGE(AS305,AT305)</f>
        <v>0</v>
      </c>
      <c r="AU306" s="125">
        <f>AVERAGE(AT305,AU305)</f>
        <v>0</v>
      </c>
      <c r="AV306" s="60">
        <f>AVERAGE(AR305:AU305)</f>
        <v>0</v>
      </c>
      <c r="AW306" s="125">
        <f>AVERAGE(AV305,AW305)</f>
        <v>0</v>
      </c>
      <c r="AX306" s="125">
        <f>AVERAGE(AW305,AX305)</f>
        <v>0</v>
      </c>
      <c r="AY306" s="125">
        <f>AVERAGE(AX305,AY305)</f>
        <v>0</v>
      </c>
      <c r="AZ306" s="125">
        <f>AVERAGE(AY305,AZ305)</f>
        <v>0</v>
      </c>
      <c r="BA306" s="60">
        <f>AVERAGE(AW305:AZ305)</f>
        <v>0</v>
      </c>
      <c r="BB306" s="125">
        <f>AVERAGE(BA305,BB305)</f>
        <v>0</v>
      </c>
      <c r="BC306" s="125">
        <f>AVERAGE(BB305,BC305)</f>
        <v>0</v>
      </c>
      <c r="BD306" s="125">
        <f>AVERAGE(BC305,BD305)</f>
        <v>0</v>
      </c>
      <c r="BE306" s="125">
        <f>AVERAGE(BD305,BE305)</f>
        <v>0</v>
      </c>
      <c r="BF306" s="60">
        <f>AVERAGE(BB305:BE305)</f>
        <v>0</v>
      </c>
      <c r="BG306" s="125">
        <f>AVERAGE(BF305,BG305)</f>
        <v>0</v>
      </c>
      <c r="BH306" s="125">
        <f>AVERAGE(BG305,BH305)</f>
        <v>0</v>
      </c>
      <c r="BI306" s="125">
        <f>AVERAGE(BH305,BI305)</f>
        <v>0</v>
      </c>
      <c r="BJ306" s="125">
        <f>AVERAGE(BI305,BJ305)</f>
        <v>0</v>
      </c>
      <c r="BK306" s="60">
        <f>AVERAGE(BG305:BJ305)</f>
        <v>0</v>
      </c>
      <c r="BL306" s="125">
        <f>AVERAGE(BK305,BL305)</f>
        <v>0</v>
      </c>
      <c r="BM306" s="125">
        <f>AVERAGE(BL305,BM305)</f>
        <v>0</v>
      </c>
      <c r="BN306" s="125">
        <f>AVERAGE(BM305,BN305)</f>
        <v>0</v>
      </c>
      <c r="BO306" s="125">
        <f>AVERAGE(BN305,BO305)</f>
        <v>0</v>
      </c>
      <c r="BP306" s="60">
        <f>AVERAGE(BL305:BO305)</f>
        <v>0</v>
      </c>
      <c r="BQ306" s="125">
        <f>AVERAGE(BP305,BQ305)</f>
        <v>0</v>
      </c>
      <c r="BR306" s="125">
        <f>AVERAGE(BQ305,BR305)</f>
        <v>50</v>
      </c>
      <c r="BS306" s="125">
        <f>AVERAGE(BR305,BS305)</f>
        <v>50</v>
      </c>
      <c r="BT306" s="125">
        <f>AVERAGE(BS305,BT305)</f>
        <v>0</v>
      </c>
      <c r="BU306" s="60">
        <f>AVERAGE(BQ305:BT305)</f>
        <v>25</v>
      </c>
      <c r="BV306" s="125">
        <f>AVERAGE(BU305,BV305)</f>
        <v>0</v>
      </c>
      <c r="BW306" s="125">
        <f>AVERAGE(BV305,BW305)</f>
        <v>0</v>
      </c>
      <c r="BX306" s="125">
        <f>AVERAGE(BW305,BX305)</f>
        <v>0</v>
      </c>
      <c r="BY306" s="125">
        <f>AVERAGE(BX305,BY305)</f>
        <v>0</v>
      </c>
      <c r="BZ306" s="60">
        <f>AVERAGE(BV305:BY305)</f>
        <v>0</v>
      </c>
      <c r="CA306" s="125">
        <f>AVERAGE(BZ305,CA305)</f>
        <v>0</v>
      </c>
      <c r="CB306" s="125">
        <f>AVERAGE(CA305,CB305)</f>
        <v>0</v>
      </c>
      <c r="CC306" s="125">
        <f>AVERAGE(CB305,CC305)</f>
        <v>0</v>
      </c>
      <c r="CD306" s="125">
        <f>AVERAGE(CC305,CD305)</f>
        <v>0</v>
      </c>
      <c r="CE306" s="60">
        <f>AVERAGE(CA305:CD305)</f>
        <v>0</v>
      </c>
      <c r="CF306" s="125">
        <f>AVERAGE(CE305,CF305)</f>
        <v>0</v>
      </c>
      <c r="CG306" s="125">
        <f>AVERAGE(CF305,CG305)</f>
        <v>0</v>
      </c>
      <c r="CH306" s="172">
        <f>AVERAGE(CG305,CH305)</f>
        <v>0</v>
      </c>
      <c r="CI306" s="125">
        <f>AVERAGE(CH305,CI305)</f>
        <v>0</v>
      </c>
      <c r="CJ306" s="60">
        <f>AVERAGE(CF305:CI305)</f>
        <v>0</v>
      </c>
      <c r="CK306" s="125">
        <f>AVERAGE(CJ305,CK305)</f>
        <v>0</v>
      </c>
      <c r="CL306" s="125">
        <f>AVERAGE(CK305,CL305)</f>
        <v>0</v>
      </c>
      <c r="CM306" s="172">
        <f>AVERAGE(CL305,CM305)</f>
        <v>0</v>
      </c>
      <c r="CN306" s="125">
        <f>AVERAGE(CM305,CN305)</f>
        <v>0</v>
      </c>
      <c r="CO306" s="60">
        <f>AVERAGE(CK305:CN305)</f>
        <v>0</v>
      </c>
      <c r="CP306" s="125">
        <f>AVERAGE(CO305,CP305)</f>
        <v>0</v>
      </c>
      <c r="CQ306" s="125">
        <f>AVERAGE(CP305,CQ305)</f>
        <v>0</v>
      </c>
      <c r="CR306" s="172">
        <f>AVERAGE(CQ305,CR305)</f>
        <v>0</v>
      </c>
      <c r="CS306" s="125">
        <f>AVERAGE(CR305,CS305)</f>
        <v>0</v>
      </c>
      <c r="CT306" s="60">
        <f>AVERAGE(CP305:CS305)</f>
        <v>0</v>
      </c>
      <c r="CU306" s="125">
        <f>AVERAGE(CT305,CU305)</f>
        <v>0</v>
      </c>
      <c r="CV306" s="125">
        <f>AVERAGE(CU305,CV305)</f>
        <v>0</v>
      </c>
      <c r="CW306" s="172">
        <f>AVERAGE(CV305,CW305)</f>
        <v>0</v>
      </c>
      <c r="CX306" s="125">
        <f>AVERAGE(CW305,CX305)</f>
        <v>0</v>
      </c>
      <c r="CY306" s="60">
        <f>AVERAGE(CU305:CX305)</f>
        <v>0</v>
      </c>
      <c r="CZ306" s="125">
        <f>AVERAGE(CY305,CZ305)</f>
        <v>0</v>
      </c>
      <c r="DA306" s="125">
        <f>AVERAGE(CZ305,DA305)</f>
        <v>0</v>
      </c>
      <c r="DB306" s="172">
        <f>AVERAGE(DA305,DB305)</f>
        <v>0</v>
      </c>
      <c r="DC306" s="125">
        <f>AVERAGE(DB305,DC305)</f>
        <v>0</v>
      </c>
      <c r="DD306" s="60">
        <f>AVERAGE(CZ305:DC305)</f>
        <v>0</v>
      </c>
      <c r="DE306" s="125">
        <f>AVERAGE(DD305,DE305)</f>
        <v>0</v>
      </c>
      <c r="DF306" s="125">
        <f>AVERAGE(DE305,DF305)</f>
        <v>0</v>
      </c>
      <c r="DG306" s="125">
        <f>AVERAGE(DF305,DG305)</f>
        <v>0</v>
      </c>
      <c r="DH306" s="125">
        <f>AVERAGE(DG305,DH305)</f>
        <v>0</v>
      </c>
      <c r="DI306" s="60">
        <f>AVERAGE(DE305:DH305)</f>
        <v>0</v>
      </c>
      <c r="DJ306" s="125">
        <f>AVERAGE(DI305,DJ305)</f>
        <v>0</v>
      </c>
      <c r="DK306" s="125">
        <f>AVERAGE(DJ305,DK305)</f>
        <v>0</v>
      </c>
      <c r="DL306" s="125">
        <f>AVERAGE(DK305,DL305)</f>
        <v>0</v>
      </c>
      <c r="DM306" s="125">
        <f>AVERAGE(DL305,DM305)</f>
        <v>0</v>
      </c>
      <c r="DN306" s="60">
        <f>AVERAGE(DJ305:DM305)</f>
        <v>0</v>
      </c>
      <c r="DO306" s="125">
        <f>AVERAGE(DN305,DO305)</f>
        <v>0</v>
      </c>
      <c r="DP306" s="125">
        <f>AVERAGE(DO305,DP305)</f>
        <v>0</v>
      </c>
      <c r="DQ306" s="125">
        <f>AVERAGE(DP305,DQ305)</f>
        <v>0</v>
      </c>
      <c r="DR306" s="125">
        <f>AVERAGE(DQ305,DR305)</f>
        <v>0</v>
      </c>
      <c r="DS306" s="60">
        <f>AVERAGE(DO305:DR305)</f>
        <v>0</v>
      </c>
    </row>
    <row r="307" spans="1:123">
      <c r="A307" s="132"/>
      <c r="B307" s="33"/>
      <c r="C307" s="131"/>
      <c r="D307" s="132"/>
      <c r="E307" s="132"/>
      <c r="F307" s="132"/>
      <c r="G307" s="132"/>
      <c r="H307" s="131"/>
      <c r="I307" s="132"/>
      <c r="J307" s="132"/>
      <c r="K307" s="132"/>
      <c r="L307" s="132"/>
      <c r="M307" s="131"/>
      <c r="N307" s="132"/>
      <c r="O307" s="132"/>
      <c r="P307" s="132"/>
      <c r="Q307" s="132"/>
      <c r="R307" s="131"/>
      <c r="S307" s="132"/>
      <c r="T307" s="132"/>
      <c r="U307" s="132"/>
      <c r="V307" s="132"/>
      <c r="W307" s="131"/>
      <c r="X307" s="132"/>
      <c r="Y307" s="132"/>
      <c r="Z307" s="132"/>
      <c r="AA307" s="132"/>
      <c r="AB307" s="131"/>
      <c r="AC307" s="132"/>
      <c r="AD307" s="132"/>
      <c r="AE307" s="132"/>
      <c r="AF307" s="132"/>
      <c r="AG307" s="131"/>
      <c r="AH307" s="132"/>
      <c r="AI307" s="132"/>
      <c r="AJ307" s="132"/>
      <c r="AK307" s="132"/>
      <c r="AL307" s="131"/>
      <c r="AM307" s="132"/>
      <c r="AN307" s="132"/>
      <c r="AO307" s="132"/>
      <c r="AP307" s="132"/>
      <c r="AQ307" s="131"/>
      <c r="AR307" s="132"/>
      <c r="AS307" s="132"/>
      <c r="AT307" s="132"/>
      <c r="AU307" s="132"/>
      <c r="AV307" s="131"/>
      <c r="AW307" s="132"/>
      <c r="AX307" s="132"/>
      <c r="AY307" s="132"/>
      <c r="AZ307" s="132"/>
      <c r="BA307" s="131"/>
      <c r="BB307" s="132"/>
      <c r="BC307" s="132"/>
      <c r="BD307" s="132"/>
      <c r="BE307" s="132"/>
      <c r="BF307" s="131"/>
      <c r="BG307" s="132"/>
      <c r="BH307" s="132"/>
      <c r="BI307" s="132"/>
      <c r="BJ307" s="132"/>
      <c r="BK307" s="131"/>
      <c r="BL307" s="132"/>
      <c r="BM307" s="132"/>
      <c r="BN307" s="132"/>
      <c r="BO307" s="132"/>
      <c r="BP307" s="131"/>
      <c r="BQ307" s="132"/>
      <c r="BR307" s="132"/>
      <c r="BS307" s="132"/>
      <c r="BT307" s="132"/>
      <c r="BU307" s="131"/>
      <c r="BV307" s="132"/>
      <c r="BW307" s="132"/>
      <c r="BX307" s="132"/>
      <c r="BY307" s="132"/>
      <c r="BZ307" s="131"/>
      <c r="CA307" s="132"/>
      <c r="CB307" s="132"/>
      <c r="CC307" s="132"/>
      <c r="CD307" s="132"/>
      <c r="CE307" s="131"/>
      <c r="CF307" s="132"/>
      <c r="CG307" s="132"/>
      <c r="CH307" s="177"/>
      <c r="CI307" s="132"/>
      <c r="CJ307" s="131"/>
      <c r="CK307" s="132"/>
      <c r="CL307" s="132"/>
      <c r="CM307" s="177"/>
      <c r="CN307" s="132"/>
      <c r="CO307" s="131"/>
      <c r="CP307" s="132"/>
      <c r="CQ307" s="132"/>
      <c r="CR307" s="177"/>
      <c r="CS307" s="132"/>
      <c r="CT307" s="131"/>
      <c r="CU307" s="132"/>
      <c r="CV307" s="132"/>
      <c r="CW307" s="177"/>
      <c r="CX307" s="132"/>
      <c r="CY307" s="131"/>
      <c r="CZ307" s="132"/>
      <c r="DA307" s="132"/>
      <c r="DB307" s="177"/>
      <c r="DC307" s="132"/>
      <c r="DD307" s="131"/>
      <c r="DE307" s="132"/>
      <c r="DF307" s="132"/>
      <c r="DG307" s="132"/>
      <c r="DH307" s="132"/>
      <c r="DI307" s="131"/>
      <c r="DJ307" s="132"/>
      <c r="DK307" s="132"/>
      <c r="DL307" s="132"/>
      <c r="DM307" s="132"/>
      <c r="DN307" s="131"/>
      <c r="DO307" s="132"/>
      <c r="DP307" s="132"/>
      <c r="DQ307" s="132"/>
      <c r="DR307" s="132"/>
      <c r="DS307" s="131"/>
    </row>
    <row r="308" spans="1:123">
      <c r="A308" s="132"/>
      <c r="B308" s="33" t="s">
        <v>221</v>
      </c>
      <c r="C308" s="131"/>
      <c r="D308" s="132"/>
      <c r="E308" s="132"/>
      <c r="F308" s="132"/>
      <c r="G308" s="132"/>
      <c r="H308" s="131"/>
      <c r="I308" s="132"/>
      <c r="J308" s="132"/>
      <c r="K308" s="132"/>
      <c r="L308" s="132"/>
      <c r="M308" s="131"/>
      <c r="N308" s="132"/>
      <c r="O308" s="132"/>
      <c r="P308" s="132"/>
      <c r="Q308" s="132"/>
      <c r="R308" s="124">
        <f>R305-M305</f>
        <v>0</v>
      </c>
      <c r="S308" s="132"/>
      <c r="T308" s="132"/>
      <c r="U308" s="132"/>
      <c r="V308" s="132"/>
      <c r="W308" s="124">
        <f>W305-R305</f>
        <v>0</v>
      </c>
      <c r="X308" s="132"/>
      <c r="Y308" s="132"/>
      <c r="Z308" s="132"/>
      <c r="AA308" s="132"/>
      <c r="AB308" s="124">
        <f>AB305-W305</f>
        <v>0</v>
      </c>
      <c r="AC308" s="132"/>
      <c r="AD308" s="132"/>
      <c r="AE308" s="132"/>
      <c r="AF308" s="132"/>
      <c r="AG308" s="124">
        <f>AG305-AB305</f>
        <v>0</v>
      </c>
      <c r="AH308" s="132"/>
      <c r="AI308" s="132"/>
      <c r="AJ308" s="132"/>
      <c r="AK308" s="132"/>
      <c r="AL308" s="124">
        <f>AL305-AG305</f>
        <v>0</v>
      </c>
      <c r="AM308" s="132"/>
      <c r="AN308" s="132"/>
      <c r="AO308" s="132"/>
      <c r="AP308" s="132"/>
      <c r="AQ308" s="124">
        <f>AQ305-AL305</f>
        <v>0</v>
      </c>
      <c r="AR308" s="125">
        <f>AR305-AQ305</f>
        <v>0</v>
      </c>
      <c r="AS308" s="125">
        <f>AS305-AR305</f>
        <v>0</v>
      </c>
      <c r="AT308" s="125">
        <f>AT305-AS305</f>
        <v>0</v>
      </c>
      <c r="AU308" s="125">
        <f>AU305-AT305</f>
        <v>0</v>
      </c>
      <c r="AV308" s="124">
        <f>AV305-AQ305</f>
        <v>0</v>
      </c>
      <c r="AW308" s="125">
        <f>AW305-AV305</f>
        <v>0</v>
      </c>
      <c r="AX308" s="125">
        <f>AX305-AW305</f>
        <v>0</v>
      </c>
      <c r="AY308" s="125">
        <f>AY305-AX305</f>
        <v>0</v>
      </c>
      <c r="AZ308" s="125">
        <f>AZ305-AY305</f>
        <v>0</v>
      </c>
      <c r="BA308" s="124">
        <f>BA305-AV305</f>
        <v>0</v>
      </c>
      <c r="BB308" s="125">
        <f>BB305-BA305</f>
        <v>0</v>
      </c>
      <c r="BC308" s="125">
        <f>BC305-BB305</f>
        <v>0</v>
      </c>
      <c r="BD308" s="125">
        <f>BD305-BC305</f>
        <v>0</v>
      </c>
      <c r="BE308" s="125">
        <f>BE305-BD305</f>
        <v>0</v>
      </c>
      <c r="BF308" s="124">
        <f>BF305-BA305</f>
        <v>0</v>
      </c>
      <c r="BG308" s="125">
        <f>BG305-BF305</f>
        <v>0</v>
      </c>
      <c r="BH308" s="125">
        <f>BH305-BG305</f>
        <v>0</v>
      </c>
      <c r="BI308" s="125">
        <f>BI305-BH305</f>
        <v>0</v>
      </c>
      <c r="BJ308" s="125">
        <f>BJ305-BI305</f>
        <v>0</v>
      </c>
      <c r="BK308" s="124">
        <f>BK305-BF305</f>
        <v>0</v>
      </c>
      <c r="BL308" s="125">
        <f>BL305-BK305</f>
        <v>0</v>
      </c>
      <c r="BM308" s="125">
        <f>BM305-BL305</f>
        <v>0</v>
      </c>
      <c r="BN308" s="125">
        <f>BN305-BM305</f>
        <v>0</v>
      </c>
      <c r="BO308" s="125">
        <f>BO305-BN305</f>
        <v>0</v>
      </c>
      <c r="BP308" s="124">
        <f>BP305-BK305</f>
        <v>0</v>
      </c>
      <c r="BQ308" s="125">
        <f>BQ305-BP305</f>
        <v>0</v>
      </c>
      <c r="BR308" s="125">
        <f>BR305-BQ305</f>
        <v>100</v>
      </c>
      <c r="BS308" s="125">
        <f>BS305-BR305</f>
        <v>-100</v>
      </c>
      <c r="BT308" s="125">
        <f>BT305-BS305</f>
        <v>0</v>
      </c>
      <c r="BU308" s="124">
        <f>BU305-BP305</f>
        <v>0</v>
      </c>
      <c r="BV308" s="125">
        <f>BV305-BU305</f>
        <v>0</v>
      </c>
      <c r="BW308" s="125">
        <f>BW305-BV305</f>
        <v>0</v>
      </c>
      <c r="BX308" s="125">
        <f>BX305-BW305</f>
        <v>0</v>
      </c>
      <c r="BY308" s="125">
        <f>BY305-BX305</f>
        <v>0</v>
      </c>
      <c r="BZ308" s="124">
        <f>BZ305-BU305</f>
        <v>0</v>
      </c>
      <c r="CA308" s="125">
        <f>CA305-BZ305</f>
        <v>0</v>
      </c>
      <c r="CB308" s="125">
        <f>CB305-CA305</f>
        <v>0</v>
      </c>
      <c r="CC308" s="125">
        <f>CC305-CB305</f>
        <v>0</v>
      </c>
      <c r="CD308" s="125">
        <f>CD305-CC305</f>
        <v>0</v>
      </c>
      <c r="CE308" s="124">
        <f>CE305-BZ305</f>
        <v>0</v>
      </c>
      <c r="CF308" s="125">
        <f>CF305-CE305</f>
        <v>0</v>
      </c>
      <c r="CG308" s="125">
        <f>CG305-CF305</f>
        <v>0</v>
      </c>
      <c r="CH308" s="172">
        <f>CH305-CG305</f>
        <v>0</v>
      </c>
      <c r="CI308" s="125">
        <f>CI305-CH305</f>
        <v>0</v>
      </c>
      <c r="CJ308" s="124">
        <f>CJ305-CE305</f>
        <v>0</v>
      </c>
      <c r="CK308" s="125">
        <f>CK305-CJ305</f>
        <v>0</v>
      </c>
      <c r="CL308" s="125">
        <f>CL305-CK305</f>
        <v>0</v>
      </c>
      <c r="CM308" s="172">
        <f>CM305-CL305</f>
        <v>0</v>
      </c>
      <c r="CN308" s="125">
        <f>CN305-CM305</f>
        <v>0</v>
      </c>
      <c r="CO308" s="124">
        <f>CO305-CJ305</f>
        <v>0</v>
      </c>
      <c r="CP308" s="125">
        <f>CP305-CO305</f>
        <v>0</v>
      </c>
      <c r="CQ308" s="125">
        <f>CQ305-CP305</f>
        <v>0</v>
      </c>
      <c r="CR308" s="172">
        <f>CR305-CQ305</f>
        <v>0</v>
      </c>
      <c r="CS308" s="125">
        <f>CS305-CR305</f>
        <v>0</v>
      </c>
      <c r="CT308" s="124">
        <f>CT305-CO305</f>
        <v>0</v>
      </c>
      <c r="CU308" s="125">
        <f>CU305-CT305</f>
        <v>0</v>
      </c>
      <c r="CV308" s="125">
        <f>CV305-CU305</f>
        <v>0</v>
      </c>
      <c r="CW308" s="172">
        <f>CW305-CV305</f>
        <v>0</v>
      </c>
      <c r="CX308" s="125">
        <f>CX305-CW305</f>
        <v>0</v>
      </c>
      <c r="CY308" s="124">
        <f>CY305-CT305</f>
        <v>0</v>
      </c>
      <c r="CZ308" s="125">
        <f>CZ305-CY305</f>
        <v>0</v>
      </c>
      <c r="DA308" s="125">
        <f>DA305-CZ305</f>
        <v>0</v>
      </c>
      <c r="DB308" s="172">
        <f>DB305-DA305</f>
        <v>0</v>
      </c>
      <c r="DC308" s="125">
        <f>DC305-DB305</f>
        <v>0</v>
      </c>
      <c r="DD308" s="124">
        <f>DD305-CY305</f>
        <v>0</v>
      </c>
      <c r="DE308" s="125">
        <f>DE305-DD305</f>
        <v>0</v>
      </c>
      <c r="DF308" s="125">
        <f>DF305-DE305</f>
        <v>0</v>
      </c>
      <c r="DG308" s="125">
        <f>DG305-DF305</f>
        <v>0</v>
      </c>
      <c r="DH308" s="125">
        <f>DH305-DG305</f>
        <v>0</v>
      </c>
      <c r="DI308" s="124">
        <f>DI305-DD305</f>
        <v>0</v>
      </c>
      <c r="DJ308" s="125">
        <f>DJ305-DI305</f>
        <v>0</v>
      </c>
      <c r="DK308" s="125">
        <f>DK305-DJ305</f>
        <v>0</v>
      </c>
      <c r="DL308" s="125">
        <f>DL305-DK305</f>
        <v>0</v>
      </c>
      <c r="DM308" s="125">
        <f>DM305-DL305</f>
        <v>0</v>
      </c>
      <c r="DN308" s="124">
        <f>DN305-DI305</f>
        <v>0</v>
      </c>
      <c r="DO308" s="125">
        <f>DO305-DN305</f>
        <v>0</v>
      </c>
      <c r="DP308" s="125">
        <f>DP305-DO305</f>
        <v>0</v>
      </c>
      <c r="DQ308" s="125">
        <f>DQ305-DP305</f>
        <v>0</v>
      </c>
      <c r="DR308" s="125">
        <f>DR305-DQ305</f>
        <v>0</v>
      </c>
      <c r="DS308" s="124">
        <f>DS305-DN305</f>
        <v>0</v>
      </c>
    </row>
    <row r="309" spans="1:123">
      <c r="A309" s="132"/>
      <c r="B309" s="33"/>
      <c r="C309" s="131"/>
      <c r="D309" s="132"/>
      <c r="E309" s="132"/>
      <c r="F309" s="132"/>
      <c r="G309" s="132"/>
      <c r="H309" s="131"/>
      <c r="I309" s="132"/>
      <c r="J309" s="132"/>
      <c r="K309" s="132"/>
      <c r="L309" s="132"/>
      <c r="M309" s="131"/>
      <c r="N309" s="132"/>
      <c r="O309" s="132"/>
      <c r="P309" s="132"/>
      <c r="Q309" s="132"/>
      <c r="R309" s="124"/>
      <c r="S309" s="132"/>
      <c r="T309" s="132"/>
      <c r="U309" s="132"/>
      <c r="V309" s="132"/>
      <c r="W309" s="124"/>
      <c r="X309" s="132"/>
      <c r="Y309" s="132"/>
      <c r="Z309" s="132"/>
      <c r="AA309" s="132"/>
      <c r="AB309" s="124"/>
      <c r="AC309" s="132"/>
      <c r="AD309" s="132"/>
      <c r="AE309" s="132"/>
      <c r="AF309" s="132"/>
      <c r="AG309" s="124"/>
      <c r="AH309" s="132"/>
      <c r="AI309" s="132"/>
      <c r="AJ309" s="132"/>
      <c r="AK309" s="132"/>
      <c r="AL309" s="124"/>
      <c r="AM309" s="132"/>
      <c r="AN309" s="132"/>
      <c r="AO309" s="132"/>
      <c r="AP309" s="132"/>
      <c r="AQ309" s="124"/>
      <c r="AV309" s="124"/>
      <c r="BA309" s="124"/>
      <c r="BF309" s="124"/>
      <c r="BK309" s="124"/>
      <c r="BP309" s="124"/>
      <c r="BU309" s="124"/>
      <c r="BZ309" s="124"/>
      <c r="CE309" s="124"/>
      <c r="CH309" s="172"/>
      <c r="CJ309" s="124"/>
      <c r="CM309" s="172"/>
      <c r="CO309" s="124"/>
      <c r="CR309" s="172"/>
      <c r="CT309" s="124"/>
      <c r="CW309" s="172"/>
      <c r="CY309" s="124"/>
      <c r="DB309" s="172"/>
      <c r="DD309" s="124"/>
      <c r="DI309" s="124"/>
      <c r="DN309" s="124"/>
      <c r="DS309" s="124"/>
    </row>
    <row r="310" spans="1:123">
      <c r="A310" s="132"/>
      <c r="B310" s="633" t="s">
        <v>222</v>
      </c>
      <c r="C310" s="131"/>
      <c r="D310" s="132"/>
      <c r="E310" s="132"/>
      <c r="F310" s="132"/>
      <c r="G310" s="132"/>
      <c r="H310" s="131"/>
      <c r="I310" s="132"/>
      <c r="J310" s="132"/>
      <c r="K310" s="132"/>
      <c r="L310" s="132"/>
      <c r="M310" s="124">
        <f>M173</f>
        <v>16.028534</v>
      </c>
      <c r="N310" s="132"/>
      <c r="O310" s="132"/>
      <c r="P310" s="132"/>
      <c r="Q310" s="132"/>
      <c r="R310" s="124">
        <f>R173</f>
        <v>53.339326</v>
      </c>
      <c r="S310" s="132"/>
      <c r="T310" s="132"/>
      <c r="U310" s="132"/>
      <c r="V310" s="132"/>
      <c r="W310" s="124">
        <f>W173</f>
        <v>56.797</v>
      </c>
      <c r="X310" s="132"/>
      <c r="Y310" s="132"/>
      <c r="Z310" s="132"/>
      <c r="AA310" s="132"/>
      <c r="AB310" s="124">
        <f>AB173</f>
        <v>159.573</v>
      </c>
      <c r="AC310" s="132"/>
      <c r="AD310" s="132"/>
      <c r="AE310" s="132"/>
      <c r="AF310" s="132"/>
      <c r="AG310" s="124">
        <f t="shared" ref="AG310:CR310" si="656">AG173</f>
        <v>316.286</v>
      </c>
      <c r="AH310" s="125">
        <f t="shared" si="656"/>
        <v>260.871</v>
      </c>
      <c r="AI310" s="125">
        <f t="shared" si="656"/>
        <v>264.728</v>
      </c>
      <c r="AJ310" s="125">
        <f t="shared" si="656"/>
        <v>276.946</v>
      </c>
      <c r="AK310" s="125">
        <f t="shared" si="656"/>
        <v>409.437</v>
      </c>
      <c r="AL310" s="124">
        <f t="shared" si="656"/>
        <v>409.437</v>
      </c>
      <c r="AM310" s="125">
        <f t="shared" si="656"/>
        <v>424.33</v>
      </c>
      <c r="AN310" s="125">
        <f t="shared" si="656"/>
        <v>444.286</v>
      </c>
      <c r="AO310" s="125">
        <f t="shared" si="656"/>
        <v>439.423</v>
      </c>
      <c r="AP310" s="125">
        <f t="shared" si="656"/>
        <v>590.179</v>
      </c>
      <c r="AQ310" s="124">
        <f t="shared" si="656"/>
        <v>590.179</v>
      </c>
      <c r="AR310" s="125">
        <f t="shared" si="656"/>
        <v>588.418</v>
      </c>
      <c r="AS310" s="125">
        <f t="shared" si="656"/>
        <v>610.273</v>
      </c>
      <c r="AT310" s="125">
        <f t="shared" si="656"/>
        <v>600.745</v>
      </c>
      <c r="AU310" s="125">
        <f t="shared" si="656"/>
        <v>698.649</v>
      </c>
      <c r="AV310" s="124">
        <f t="shared" si="656"/>
        <v>698.649</v>
      </c>
      <c r="AW310" s="125">
        <f t="shared" si="656"/>
        <v>751.965</v>
      </c>
      <c r="AX310" s="125">
        <f t="shared" si="656"/>
        <v>725.073</v>
      </c>
      <c r="AY310" s="125">
        <f t="shared" si="656"/>
        <v>633.582</v>
      </c>
      <c r="AZ310" s="125">
        <f t="shared" si="656"/>
        <v>664.479</v>
      </c>
      <c r="BA310" s="124">
        <f t="shared" si="656"/>
        <v>664.479</v>
      </c>
      <c r="BB310" s="125">
        <f t="shared" si="656"/>
        <v>655.881</v>
      </c>
      <c r="BC310" s="125">
        <f t="shared" si="656"/>
        <v>541.262</v>
      </c>
      <c r="BD310" s="125">
        <f t="shared" si="656"/>
        <v>403.446</v>
      </c>
      <c r="BE310" s="125">
        <f t="shared" si="656"/>
        <v>501.482</v>
      </c>
      <c r="BF310" s="124">
        <f t="shared" si="656"/>
        <v>501.482</v>
      </c>
      <c r="BG310" s="125">
        <f t="shared" si="656"/>
        <v>550.046</v>
      </c>
      <c r="BH310" s="125">
        <f t="shared" si="656"/>
        <v>535.35</v>
      </c>
      <c r="BI310" s="125">
        <f t="shared" si="656"/>
        <v>480.386</v>
      </c>
      <c r="BJ310" s="125">
        <f t="shared" si="656"/>
        <v>734.846</v>
      </c>
      <c r="BK310" s="124">
        <f t="shared" si="656"/>
        <v>734.846</v>
      </c>
      <c r="BL310" s="125">
        <f t="shared" si="656"/>
        <v>698.289</v>
      </c>
      <c r="BM310" s="125">
        <f t="shared" si="656"/>
        <v>721.212</v>
      </c>
      <c r="BN310" s="125">
        <f t="shared" si="656"/>
        <v>650.054</v>
      </c>
      <c r="BO310" s="125">
        <f t="shared" si="656"/>
        <v>990.501</v>
      </c>
      <c r="BP310" s="124">
        <f t="shared" si="656"/>
        <v>990.501</v>
      </c>
      <c r="BQ310" s="125">
        <f t="shared" si="656"/>
        <v>966.571</v>
      </c>
      <c r="BR310" s="125">
        <f t="shared" si="656"/>
        <v>777.841</v>
      </c>
      <c r="BS310" s="125">
        <f t="shared" si="656"/>
        <v>703.607</v>
      </c>
      <c r="BT310" s="125">
        <f t="shared" si="656"/>
        <v>881.32</v>
      </c>
      <c r="BU310" s="124">
        <f t="shared" si="656"/>
        <v>881.32</v>
      </c>
      <c r="BV310" s="125">
        <f t="shared" si="656"/>
        <v>576.241</v>
      </c>
      <c r="BW310" s="125">
        <f t="shared" si="656"/>
        <v>623.738</v>
      </c>
      <c r="BX310" s="125">
        <f t="shared" si="656"/>
        <v>586.153</v>
      </c>
      <c r="BY310" s="125">
        <f t="shared" si="656"/>
        <v>1093.505</v>
      </c>
      <c r="BZ310" s="124">
        <f t="shared" si="656"/>
        <v>1093.505</v>
      </c>
      <c r="CA310" s="125">
        <f t="shared" si="656"/>
        <v>823.006</v>
      </c>
      <c r="CB310" s="125">
        <f t="shared" si="656"/>
        <v>522.998</v>
      </c>
      <c r="CC310" s="125">
        <f t="shared" si="656"/>
        <v>481.581</v>
      </c>
      <c r="CD310" s="125">
        <f t="shared" si="656"/>
        <v>1150.517</v>
      </c>
      <c r="CE310" s="124">
        <f t="shared" si="656"/>
        <v>1150.517</v>
      </c>
      <c r="CF310" s="125">
        <f t="shared" si="656"/>
        <v>1179.739</v>
      </c>
      <c r="CG310" s="125">
        <f t="shared" si="656"/>
        <v>1170.041</v>
      </c>
      <c r="CH310" s="172">
        <f t="shared" si="656"/>
        <v>993.591</v>
      </c>
      <c r="CI310" s="125">
        <f t="shared" si="656"/>
        <v>1259.871</v>
      </c>
      <c r="CJ310" s="124">
        <f t="shared" si="656"/>
        <v>1259.871</v>
      </c>
      <c r="CK310" s="125">
        <f t="shared" si="656"/>
        <v>649.016</v>
      </c>
      <c r="CL310" s="125">
        <f t="shared" si="656"/>
        <v>498.831</v>
      </c>
      <c r="CM310" s="172">
        <f t="shared" si="656"/>
        <v>352.624</v>
      </c>
      <c r="CN310" s="125">
        <f t="shared" si="656"/>
        <v>1154.867</v>
      </c>
      <c r="CO310" s="124">
        <f t="shared" si="656"/>
        <v>1154.867</v>
      </c>
      <c r="CP310" s="125">
        <f t="shared" si="656"/>
        <v>950.607</v>
      </c>
      <c r="CQ310" s="125">
        <f t="shared" si="656"/>
        <v>1107.53</v>
      </c>
      <c r="CR310" s="172">
        <f t="shared" si="656"/>
        <v>1091.138</v>
      </c>
      <c r="CS310" s="125">
        <f t="shared" ref="CS310:DS310" si="657">CS173</f>
        <v>2243.971</v>
      </c>
      <c r="CT310" s="124">
        <f t="shared" si="657"/>
        <v>2243.971</v>
      </c>
      <c r="CU310" s="125">
        <f t="shared" si="657"/>
        <v>1900.672</v>
      </c>
      <c r="CV310" s="125">
        <f t="shared" si="657"/>
        <v>1610.112</v>
      </c>
      <c r="CW310" s="172">
        <f t="shared" si="657"/>
        <v>1188.419</v>
      </c>
      <c r="CX310" s="125">
        <f t="shared" si="657"/>
        <v>1984.336</v>
      </c>
      <c r="CY310" s="124">
        <f t="shared" si="657"/>
        <v>1984.336</v>
      </c>
      <c r="CZ310" s="125">
        <f t="shared" si="657"/>
        <v>1325.272</v>
      </c>
      <c r="DA310" s="125">
        <f t="shared" si="657"/>
        <v>1155.794</v>
      </c>
      <c r="DB310" s="172">
        <f t="shared" si="657"/>
        <v>1035.862</v>
      </c>
      <c r="DC310" s="125">
        <f t="shared" si="657"/>
        <v>1807.202</v>
      </c>
      <c r="DD310" s="124">
        <f t="shared" si="657"/>
        <v>1807.202</v>
      </c>
      <c r="DE310" s="125">
        <f t="shared" si="657"/>
        <v>1514.729</v>
      </c>
      <c r="DF310" s="125">
        <f t="shared" si="657"/>
        <v>1389.737</v>
      </c>
      <c r="DG310" s="125">
        <f t="shared" si="657"/>
        <v>771.25562949517</v>
      </c>
      <c r="DH310" s="125">
        <f t="shared" si="657"/>
        <v>1220.33848705124</v>
      </c>
      <c r="DI310" s="124">
        <f t="shared" si="657"/>
        <v>1220.33848705124</v>
      </c>
      <c r="DJ310" s="125">
        <f t="shared" si="657"/>
        <v>1346.41163608539</v>
      </c>
      <c r="DK310" s="125">
        <f t="shared" si="657"/>
        <v>1356.54974661454</v>
      </c>
      <c r="DL310" s="125">
        <f t="shared" si="657"/>
        <v>854.47308158389</v>
      </c>
      <c r="DM310" s="125">
        <f t="shared" si="657"/>
        <v>1440.50163464268</v>
      </c>
      <c r="DN310" s="124">
        <f t="shared" si="657"/>
        <v>1440.50163464268</v>
      </c>
      <c r="DO310" s="125">
        <f t="shared" si="657"/>
        <v>1550.43874532979</v>
      </c>
      <c r="DP310" s="125">
        <f t="shared" si="657"/>
        <v>1587.00092406941</v>
      </c>
      <c r="DQ310" s="125">
        <f t="shared" si="657"/>
        <v>1073.93368498903</v>
      </c>
      <c r="DR310" s="125">
        <f t="shared" si="657"/>
        <v>1649.05710596887</v>
      </c>
      <c r="DS310" s="124">
        <f t="shared" si="657"/>
        <v>1649.05710596887</v>
      </c>
    </row>
    <row r="311" spans="1:123">
      <c r="A311" s="132"/>
      <c r="B311" s="633" t="s">
        <v>223</v>
      </c>
      <c r="C311" s="131"/>
      <c r="D311" s="132"/>
      <c r="E311" s="132"/>
      <c r="F311" s="132"/>
      <c r="G311" s="132"/>
      <c r="H311" s="131"/>
      <c r="I311" s="132"/>
      <c r="J311" s="132"/>
      <c r="K311" s="132"/>
      <c r="L311" s="132"/>
      <c r="M311" s="131"/>
      <c r="N311" s="132"/>
      <c r="O311" s="132"/>
      <c r="P311" s="132"/>
      <c r="Q311" s="132"/>
      <c r="R311" s="60">
        <f>AVERAGE(R310,M310)</f>
        <v>34.68393</v>
      </c>
      <c r="S311" s="132"/>
      <c r="T311" s="132"/>
      <c r="U311" s="132"/>
      <c r="V311" s="132"/>
      <c r="W311" s="60">
        <f>AVERAGE(W310,R310)</f>
        <v>55.068163</v>
      </c>
      <c r="X311" s="132"/>
      <c r="Y311" s="132"/>
      <c r="Z311" s="132"/>
      <c r="AA311" s="132"/>
      <c r="AB311" s="60">
        <f>AVERAGE(AB310,W310)</f>
        <v>108.185</v>
      </c>
      <c r="AC311" s="132"/>
      <c r="AD311" s="132"/>
      <c r="AE311" s="132"/>
      <c r="AF311" s="132"/>
      <c r="AG311" s="60">
        <f>AVERAGE(AG310,AB310)</f>
        <v>237.9295</v>
      </c>
      <c r="AH311" s="132"/>
      <c r="AI311" s="132"/>
      <c r="AJ311" s="132"/>
      <c r="AK311" s="132"/>
      <c r="AL311" s="60">
        <f>AVERAGE(AL310,AG310)</f>
        <v>362.8615</v>
      </c>
      <c r="AM311" s="125">
        <f>AVERAGE(AL310,AM310)</f>
        <v>416.8835</v>
      </c>
      <c r="AN311" s="125">
        <f>AVERAGE(AM310,AN310)</f>
        <v>434.308</v>
      </c>
      <c r="AO311" s="125">
        <f>AVERAGE(AN310,AO310)</f>
        <v>441.8545</v>
      </c>
      <c r="AP311" s="125">
        <f>AVERAGE(AO310,AP310)</f>
        <v>514.801</v>
      </c>
      <c r="AQ311" s="60">
        <f>AVERAGE(AQ310,AL310)</f>
        <v>499.808</v>
      </c>
      <c r="AR311" s="125">
        <f>AVERAGE(AQ310,AR310)</f>
        <v>589.2985</v>
      </c>
      <c r="AS311" s="125">
        <f>AVERAGE(AR310,AS310)</f>
        <v>599.3455</v>
      </c>
      <c r="AT311" s="125">
        <f>AVERAGE(AS310,AT310)</f>
        <v>605.509</v>
      </c>
      <c r="AU311" s="125">
        <f>AVERAGE(AT310,AU310)</f>
        <v>649.697</v>
      </c>
      <c r="AV311" s="60">
        <f>AVERAGE(AV310,AQ310)</f>
        <v>644.414</v>
      </c>
      <c r="AW311" s="125">
        <f>AVERAGE(AV310,AW310)</f>
        <v>725.307</v>
      </c>
      <c r="AX311" s="125">
        <f>AVERAGE(AW310,AX310)</f>
        <v>738.519</v>
      </c>
      <c r="AY311" s="125">
        <f>AVERAGE(AX310,AY310)</f>
        <v>679.3275</v>
      </c>
      <c r="AZ311" s="125">
        <f>AVERAGE(AY310,AZ310)</f>
        <v>649.0305</v>
      </c>
      <c r="BA311" s="60">
        <f>AVERAGE(BA310,AV310)</f>
        <v>681.564</v>
      </c>
      <c r="BB311" s="125">
        <f>AVERAGE(BA310,BB310)</f>
        <v>660.18</v>
      </c>
      <c r="BC311" s="125">
        <f>AVERAGE(BB310,BC310)</f>
        <v>598.5715</v>
      </c>
      <c r="BD311" s="125">
        <f>AVERAGE(BC310,BD310)</f>
        <v>472.354</v>
      </c>
      <c r="BE311" s="125">
        <f>AVERAGE(BD310,BE310)</f>
        <v>452.464</v>
      </c>
      <c r="BF311" s="60">
        <f>AVERAGE(BF310,BA310)</f>
        <v>582.9805</v>
      </c>
      <c r="BG311" s="125">
        <f>AVERAGE(BF310,BG310)</f>
        <v>525.764</v>
      </c>
      <c r="BH311" s="125">
        <f>AVERAGE(BG310,BH310)</f>
        <v>542.698</v>
      </c>
      <c r="BI311" s="125">
        <f>AVERAGE(BH310,BI310)</f>
        <v>507.868</v>
      </c>
      <c r="BJ311" s="125">
        <f>AVERAGE(BI310,BJ310)</f>
        <v>607.616</v>
      </c>
      <c r="BK311" s="60">
        <f>AVERAGE(BK310,BF310)</f>
        <v>618.164</v>
      </c>
      <c r="BL311" s="125">
        <f>AVERAGE(BK310,BL310)</f>
        <v>716.5675</v>
      </c>
      <c r="BM311" s="125">
        <f>AVERAGE(BL310,BM310)</f>
        <v>709.7505</v>
      </c>
      <c r="BN311" s="125">
        <f>AVERAGE(BM310,BN310)</f>
        <v>685.633</v>
      </c>
      <c r="BO311" s="125">
        <f>AVERAGE(BN310,BO310)</f>
        <v>820.2775</v>
      </c>
      <c r="BP311" s="60">
        <f>AVERAGE(BP310,BK310)</f>
        <v>862.6735</v>
      </c>
      <c r="BQ311" s="125">
        <f>AVERAGE(BP310,BQ310)</f>
        <v>978.536</v>
      </c>
      <c r="BR311" s="125">
        <f>AVERAGE(BQ310,BR310)</f>
        <v>872.206</v>
      </c>
      <c r="BS311" s="125">
        <f>AVERAGE(BR310,BS310)</f>
        <v>740.724</v>
      </c>
      <c r="BT311" s="125">
        <f>AVERAGE(BS310,BT310)</f>
        <v>792.4635</v>
      </c>
      <c r="BU311" s="60">
        <f>AVERAGE(BU310,BP310)</f>
        <v>935.9105</v>
      </c>
      <c r="BV311" s="125">
        <f>AVERAGE(BU310,BV310)</f>
        <v>728.7805</v>
      </c>
      <c r="BW311" s="125">
        <f>AVERAGE(BV310,BW310)</f>
        <v>599.9895</v>
      </c>
      <c r="BX311" s="125">
        <f>AVERAGE(BW310,BX310)</f>
        <v>604.9455</v>
      </c>
      <c r="BY311" s="125">
        <f>AVERAGE(BX310,BY310)</f>
        <v>839.829</v>
      </c>
      <c r="BZ311" s="60">
        <f>AVERAGE(BZ310,BU310)</f>
        <v>987.4125</v>
      </c>
      <c r="CA311" s="125">
        <f>AVERAGE(BZ310,CA310)</f>
        <v>958.2555</v>
      </c>
      <c r="CB311" s="125">
        <f>AVERAGE(CA310,CB310)</f>
        <v>673.002</v>
      </c>
      <c r="CC311" s="125">
        <f>AVERAGE(CB310,CC310)</f>
        <v>502.2895</v>
      </c>
      <c r="CD311" s="125">
        <f>AVERAGE(CC310,CD310)</f>
        <v>816.049</v>
      </c>
      <c r="CE311" s="60">
        <f>AVERAGE(CE310,BZ310)</f>
        <v>1122.011</v>
      </c>
      <c r="CF311" s="125">
        <f>AVERAGE(CE310,CF310)</f>
        <v>1165.128</v>
      </c>
      <c r="CG311" s="125">
        <f>AVERAGE(CF310,CG310)</f>
        <v>1174.89</v>
      </c>
      <c r="CH311" s="172">
        <f>AVERAGE(CG310,CH310)</f>
        <v>1081.816</v>
      </c>
      <c r="CI311" s="125">
        <f>AVERAGE(CH310,CI310)</f>
        <v>1126.731</v>
      </c>
      <c r="CJ311" s="60">
        <f>AVERAGE(CJ310,CE310)</f>
        <v>1205.194</v>
      </c>
      <c r="CK311" s="125">
        <f>AVERAGE(CJ310,CK310)</f>
        <v>954.4435</v>
      </c>
      <c r="CL311" s="125">
        <f>AVERAGE(CK310,CL310)</f>
        <v>573.9235</v>
      </c>
      <c r="CM311" s="172">
        <f>AVERAGE(CL310,CM310)</f>
        <v>425.7275</v>
      </c>
      <c r="CN311" s="125">
        <f>AVERAGE(CM310,CN310)</f>
        <v>753.7455</v>
      </c>
      <c r="CO311" s="60">
        <f>AVERAGE(CO310,CJ310)</f>
        <v>1207.369</v>
      </c>
      <c r="CP311" s="125">
        <f>AVERAGE(CO310,CP310)</f>
        <v>1052.737</v>
      </c>
      <c r="CQ311" s="125">
        <f>AVERAGE(CP310,CQ310)</f>
        <v>1029.0685</v>
      </c>
      <c r="CR311" s="172">
        <f>AVERAGE(CQ310,CR310)</f>
        <v>1099.334</v>
      </c>
      <c r="CS311" s="125">
        <f>AVERAGE(CR310,CS310)</f>
        <v>1667.5545</v>
      </c>
      <c r="CT311" s="60">
        <f>AVERAGE(CT310,CO310)</f>
        <v>1699.419</v>
      </c>
      <c r="CU311" s="125">
        <f>AVERAGE(CT310,CU310)</f>
        <v>2072.3215</v>
      </c>
      <c r="CV311" s="125">
        <f>AVERAGE(CU310,CV310)</f>
        <v>1755.392</v>
      </c>
      <c r="CW311" s="172">
        <f>AVERAGE(CV310,CW310)</f>
        <v>1399.2655</v>
      </c>
      <c r="CX311" s="125">
        <f>AVERAGE(CW310,CX310)</f>
        <v>1586.3775</v>
      </c>
      <c r="CY311" s="60">
        <f>AVERAGE(CY310,CT310)</f>
        <v>2114.1535</v>
      </c>
      <c r="CZ311" s="125">
        <f>AVERAGE(CY310,CZ310)</f>
        <v>1654.804</v>
      </c>
      <c r="DA311" s="125">
        <f>AVERAGE(CZ310,DA310)</f>
        <v>1240.533</v>
      </c>
      <c r="DB311" s="172">
        <f>AVERAGE(DA310,DB310)</f>
        <v>1095.828</v>
      </c>
      <c r="DC311" s="125">
        <f>AVERAGE(DB310,DC310)</f>
        <v>1421.532</v>
      </c>
      <c r="DD311" s="60">
        <f>AVERAGE(DD310,CY310)</f>
        <v>1895.769</v>
      </c>
      <c r="DE311" s="125">
        <f>AVERAGE(DD310,DE310)</f>
        <v>1660.9655</v>
      </c>
      <c r="DF311" s="125">
        <f>AVERAGE(DE310,DF310)</f>
        <v>1452.233</v>
      </c>
      <c r="DG311" s="125">
        <f>AVERAGE(DF310,DG310)</f>
        <v>1080.49631474758</v>
      </c>
      <c r="DH311" s="125">
        <f>AVERAGE(DG310,DH310)</f>
        <v>995.797058273202</v>
      </c>
      <c r="DI311" s="60">
        <f>AVERAGE(DI310,DD310)</f>
        <v>1513.77024352562</v>
      </c>
      <c r="DJ311" s="125">
        <f>AVERAGE(DI310,DJ310)</f>
        <v>1283.37506156831</v>
      </c>
      <c r="DK311" s="125">
        <f>AVERAGE(DJ310,DK310)</f>
        <v>1351.48069134996</v>
      </c>
      <c r="DL311" s="125">
        <f>AVERAGE(DK310,DL310)</f>
        <v>1105.51141409921</v>
      </c>
      <c r="DM311" s="125">
        <f>AVERAGE(DL310,DM310)</f>
        <v>1147.48735811328</v>
      </c>
      <c r="DN311" s="60">
        <f>AVERAGE(DN310,DI310)</f>
        <v>1330.42006084696</v>
      </c>
      <c r="DO311" s="125">
        <f>AVERAGE(DN310,DO310)</f>
        <v>1495.47018998623</v>
      </c>
      <c r="DP311" s="125">
        <f>AVERAGE(DO310,DP310)</f>
        <v>1568.7198346996</v>
      </c>
      <c r="DQ311" s="125">
        <f>AVERAGE(DP310,DQ310)</f>
        <v>1330.46730452922</v>
      </c>
      <c r="DR311" s="125">
        <f>AVERAGE(DQ310,DR310)</f>
        <v>1361.49539547895</v>
      </c>
      <c r="DS311" s="60">
        <f>AVERAGE(DS310,DN310)</f>
        <v>1544.77937030577</v>
      </c>
    </row>
    <row r="312" spans="1:123">
      <c r="A312" s="132"/>
      <c r="B312" s="33"/>
      <c r="C312" s="131"/>
      <c r="D312" s="132"/>
      <c r="E312" s="132"/>
      <c r="F312" s="132"/>
      <c r="G312" s="132"/>
      <c r="H312" s="131"/>
      <c r="I312" s="132"/>
      <c r="J312" s="132"/>
      <c r="K312" s="132"/>
      <c r="L312" s="132"/>
      <c r="M312" s="131"/>
      <c r="N312" s="132"/>
      <c r="O312" s="132"/>
      <c r="P312" s="132"/>
      <c r="Q312" s="132"/>
      <c r="R312" s="124"/>
      <c r="S312" s="132"/>
      <c r="T312" s="132"/>
      <c r="U312" s="132"/>
      <c r="V312" s="132"/>
      <c r="W312" s="124"/>
      <c r="X312" s="132"/>
      <c r="Y312" s="132"/>
      <c r="Z312" s="132"/>
      <c r="AA312" s="132"/>
      <c r="AB312" s="124"/>
      <c r="AC312" s="132"/>
      <c r="AD312" s="132"/>
      <c r="AE312" s="132"/>
      <c r="AF312" s="132"/>
      <c r="AG312" s="124"/>
      <c r="AH312" s="132"/>
      <c r="AI312" s="132"/>
      <c r="AJ312" s="132"/>
      <c r="AK312" s="132"/>
      <c r="AL312" s="124"/>
      <c r="AM312" s="132"/>
      <c r="AN312" s="132"/>
      <c r="AO312" s="132"/>
      <c r="AP312" s="132"/>
      <c r="AQ312" s="124"/>
      <c r="AV312" s="124"/>
      <c r="BA312" s="124"/>
      <c r="BF312" s="124"/>
      <c r="BK312" s="124"/>
      <c r="BP312" s="124"/>
      <c r="BU312" s="124"/>
      <c r="BZ312" s="124"/>
      <c r="CE312" s="124"/>
      <c r="CH312" s="172"/>
      <c r="CJ312" s="124"/>
      <c r="CM312" s="172"/>
      <c r="CO312" s="124"/>
      <c r="CR312" s="172"/>
      <c r="CT312" s="124"/>
      <c r="CW312" s="172"/>
      <c r="CY312" s="124"/>
      <c r="DB312" s="172"/>
      <c r="DD312" s="124"/>
      <c r="DI312" s="124"/>
      <c r="DN312" s="124"/>
      <c r="DS312" s="124"/>
    </row>
    <row r="313" spans="1:123">
      <c r="A313" s="132"/>
      <c r="B313" s="33" t="s">
        <v>224</v>
      </c>
      <c r="C313" s="131"/>
      <c r="D313" s="132"/>
      <c r="E313" s="132"/>
      <c r="F313" s="132"/>
      <c r="G313" s="132"/>
      <c r="H313" s="131"/>
      <c r="I313" s="132"/>
      <c r="J313" s="132"/>
      <c r="K313" s="132"/>
      <c r="L313" s="132"/>
      <c r="M313" s="124">
        <f>M60</f>
        <v>0.206253</v>
      </c>
      <c r="N313" s="132"/>
      <c r="O313" s="132"/>
      <c r="P313" s="132"/>
      <c r="Q313" s="132"/>
      <c r="R313" s="124">
        <f>R60</f>
        <v>1.18830800000001</v>
      </c>
      <c r="S313" s="132"/>
      <c r="T313" s="132"/>
      <c r="U313" s="132"/>
      <c r="V313" s="132"/>
      <c r="W313" s="124">
        <f>W60</f>
        <v>-0.119043</v>
      </c>
      <c r="X313" s="132"/>
      <c r="Y313" s="132"/>
      <c r="Z313" s="132"/>
      <c r="AA313" s="132"/>
      <c r="AB313" s="124">
        <f>AB60</f>
        <v>0.164</v>
      </c>
      <c r="AC313" s="132"/>
      <c r="AD313" s="132"/>
      <c r="AE313" s="132"/>
      <c r="AF313" s="132"/>
      <c r="AG313" s="124">
        <f>AG60</f>
        <v>2.886</v>
      </c>
      <c r="AH313" s="132"/>
      <c r="AI313" s="132"/>
      <c r="AJ313" s="132"/>
      <c r="AK313" s="132"/>
      <c r="AL313" s="124">
        <f>AL60</f>
        <v>2.5</v>
      </c>
      <c r="AM313" s="125">
        <f>AM60</f>
        <v>0.91</v>
      </c>
      <c r="AN313" s="125">
        <f>AN60</f>
        <v>1.166</v>
      </c>
      <c r="AO313" s="125">
        <f>AO60</f>
        <v>1.424</v>
      </c>
      <c r="AP313" s="125">
        <f>AP60</f>
        <v>1.457</v>
      </c>
      <c r="AQ313" s="124">
        <f>SUM(AM313:AP313)</f>
        <v>4.957</v>
      </c>
      <c r="AR313" s="125">
        <f>AR60</f>
        <v>1.501</v>
      </c>
      <c r="AS313" s="125">
        <f>AS60</f>
        <v>1.295</v>
      </c>
      <c r="AT313" s="125">
        <f>AT60</f>
        <v>1.453</v>
      </c>
      <c r="AU313" s="125">
        <f>AU60</f>
        <v>1.519</v>
      </c>
      <c r="AV313" s="124">
        <f>SUM(AR313:AU313)</f>
        <v>5.768</v>
      </c>
      <c r="AW313" s="125">
        <f>AW60</f>
        <v>1.643</v>
      </c>
      <c r="AX313" s="125">
        <f>AX60</f>
        <v>1.89</v>
      </c>
      <c r="AY313" s="125">
        <f>AY60</f>
        <v>1.814</v>
      </c>
      <c r="AZ313" s="125">
        <f>AZ60</f>
        <v>1.755</v>
      </c>
      <c r="BA313" s="124">
        <f>SUM(AW313:AZ313)</f>
        <v>7.102</v>
      </c>
      <c r="BB313" s="125">
        <f>BB60</f>
        <v>0.529</v>
      </c>
      <c r="BC313" s="125">
        <f>BC60</f>
        <v>0.842</v>
      </c>
      <c r="BD313" s="125">
        <f>BD60</f>
        <v>0.716</v>
      </c>
      <c r="BE313" s="125">
        <f>BE60</f>
        <v>0.938</v>
      </c>
      <c r="BF313" s="124">
        <f>SUM(BB313:BE313)</f>
        <v>3.025</v>
      </c>
      <c r="BG313" s="125">
        <f>BG60</f>
        <v>0.714</v>
      </c>
      <c r="BH313" s="125">
        <f>BH60</f>
        <v>0.878</v>
      </c>
      <c r="BI313" s="125">
        <f>BI60</f>
        <v>0.828</v>
      </c>
      <c r="BJ313" s="125">
        <f>BJ60</f>
        <v>0.857</v>
      </c>
      <c r="BK313" s="124">
        <f>SUM(BG313:BJ313)</f>
        <v>3.277</v>
      </c>
      <c r="BL313" s="125">
        <f>BL60</f>
        <v>0.907</v>
      </c>
      <c r="BM313" s="125">
        <f>BM60</f>
        <v>0.812</v>
      </c>
      <c r="BN313" s="125">
        <f>BN60</f>
        <v>1.052</v>
      </c>
      <c r="BO313" s="125">
        <f>BO60</f>
        <v>1.226</v>
      </c>
      <c r="BP313" s="124">
        <f>SUM(BL313:BO313)</f>
        <v>3.997</v>
      </c>
      <c r="BQ313" s="125">
        <f>BQ60</f>
        <v>2.918</v>
      </c>
      <c r="BR313" s="125">
        <f>BR60</f>
        <v>1.591</v>
      </c>
      <c r="BS313" s="125">
        <f>BS60</f>
        <v>2.044</v>
      </c>
      <c r="BT313" s="125">
        <f>BT60</f>
        <v>2.861</v>
      </c>
      <c r="BU313" s="124">
        <f>SUM(BQ313:BT313)</f>
        <v>9.414</v>
      </c>
      <c r="BV313" s="125">
        <f>BV60</f>
        <v>2.379</v>
      </c>
      <c r="BW313" s="125">
        <f>BW60</f>
        <v>1.85</v>
      </c>
      <c r="BX313" s="125">
        <f>BX60</f>
        <v>1.925</v>
      </c>
      <c r="BY313" s="125">
        <f>BY60</f>
        <v>2.129</v>
      </c>
      <c r="BZ313" s="124">
        <f>SUM(BV313:BY313)</f>
        <v>8.283</v>
      </c>
      <c r="CA313" s="125">
        <f>CA60</f>
        <v>1.174</v>
      </c>
      <c r="CB313" s="125">
        <f>CB60</f>
        <v>-0.344</v>
      </c>
      <c r="CC313" s="125">
        <f>CC60</f>
        <v>-0.58</v>
      </c>
      <c r="CD313" s="125">
        <f>CD60</f>
        <v>-0.886</v>
      </c>
      <c r="CE313" s="124">
        <f>SUM(CA313:CD313)</f>
        <v>-0.636</v>
      </c>
      <c r="CF313" s="125">
        <f>CF60</f>
        <v>0.227</v>
      </c>
      <c r="CG313" s="125">
        <f>CG60</f>
        <v>0.096</v>
      </c>
      <c r="CH313" s="172">
        <f>CH60</f>
        <v>0.015</v>
      </c>
      <c r="CI313" s="172">
        <f>CI60</f>
        <v>0.176</v>
      </c>
      <c r="CJ313" s="124">
        <f>SUM(CF313:CI313)</f>
        <v>0.514</v>
      </c>
      <c r="CK313" s="125">
        <f>CK60</f>
        <v>-0.022</v>
      </c>
      <c r="CL313" s="125">
        <f>CL60</f>
        <v>0.145</v>
      </c>
      <c r="CM313" s="172">
        <f>CM60</f>
        <v>0.331</v>
      </c>
      <c r="CN313" s="125">
        <f>CN60</f>
        <v>3.709</v>
      </c>
      <c r="CO313" s="124">
        <f>SUM(CK313:CN313)</f>
        <v>4.163</v>
      </c>
      <c r="CP313" s="125">
        <f>CP60</f>
        <v>8.025</v>
      </c>
      <c r="CQ313" s="125">
        <f>CQ60</f>
        <v>7.362</v>
      </c>
      <c r="CR313" s="172">
        <f>CR60</f>
        <v>9.842</v>
      </c>
      <c r="CS313" s="125">
        <f>CS60</f>
        <v>17.83</v>
      </c>
      <c r="CT313" s="124">
        <f>SUM(CP313:CS313)</f>
        <v>43.059</v>
      </c>
      <c r="CU313" s="125">
        <f>CU60</f>
        <v>23.283</v>
      </c>
      <c r="CV313" s="125">
        <f>CV60</f>
        <v>17.994</v>
      </c>
      <c r="CW313" s="172">
        <f>CW60</f>
        <v>13.743</v>
      </c>
      <c r="CX313" s="172">
        <f>CX60</f>
        <v>15.36</v>
      </c>
      <c r="CY313" s="124">
        <f>SUM(CU313:CX313)</f>
        <v>70.38</v>
      </c>
      <c r="CZ313" s="125">
        <f>CZ60</f>
        <v>11.786</v>
      </c>
      <c r="DA313" s="125">
        <f>DA60</f>
        <v>9.737</v>
      </c>
      <c r="DB313" s="172">
        <f>DB60</f>
        <v>5.854</v>
      </c>
      <c r="DC313" s="172">
        <f>DC60</f>
        <v>0.975</v>
      </c>
      <c r="DD313" s="124">
        <f>SUM(CZ313:DC313)</f>
        <v>28.352</v>
      </c>
      <c r="DE313" s="125">
        <f>DE60</f>
        <v>9.131</v>
      </c>
      <c r="DF313" s="125">
        <f>DF60</f>
        <v>13.698</v>
      </c>
      <c r="DG313" s="125">
        <f>DG314*DG311/4</f>
        <v>4.86223341636413</v>
      </c>
      <c r="DH313" s="125">
        <f>DH314*DH311/4</f>
        <v>4.48108676222941</v>
      </c>
      <c r="DI313" s="124">
        <f>SUM(DE313:DH313)</f>
        <v>32.1723201785935</v>
      </c>
      <c r="DJ313" s="125">
        <f>DJ314*DJ311/4</f>
        <v>5.61476589436138</v>
      </c>
      <c r="DK313" s="125">
        <f>DK314*DK311/4</f>
        <v>5.9127280246561</v>
      </c>
      <c r="DL313" s="125">
        <f>DL314*DL311/4</f>
        <v>4.83661243668406</v>
      </c>
      <c r="DM313" s="125">
        <f>DM314*DM311/4</f>
        <v>5.02025719174561</v>
      </c>
      <c r="DN313" s="124">
        <f>SUM(DJ313:DM313)</f>
        <v>21.3843635474471</v>
      </c>
      <c r="DO313" s="125">
        <f>DO314*DO311/4</f>
        <v>6.54268208118976</v>
      </c>
      <c r="DP313" s="125">
        <f>DP314*DP311/4</f>
        <v>6.86314927681075</v>
      </c>
      <c r="DQ313" s="125">
        <f>DQ314*DQ311/4</f>
        <v>5.82079445731535</v>
      </c>
      <c r="DR313" s="125">
        <f>DR314*DR311/4</f>
        <v>5.95654235522041</v>
      </c>
      <c r="DS313" s="124">
        <f>SUM(DO313:DR313)</f>
        <v>25.1831681705363</v>
      </c>
    </row>
    <row r="314" s="87" customFormat="1" spans="1:123">
      <c r="A314" s="161"/>
      <c r="B314" s="309" t="s">
        <v>225</v>
      </c>
      <c r="C314" s="162"/>
      <c r="D314" s="161"/>
      <c r="E314" s="161"/>
      <c r="F314" s="161"/>
      <c r="G314" s="161"/>
      <c r="H314" s="162"/>
      <c r="I314" s="161"/>
      <c r="J314" s="161"/>
      <c r="K314" s="161"/>
      <c r="L314" s="161"/>
      <c r="M314" s="749" t="str">
        <f>IFERROR(M313/M311,"nm ")</f>
        <v>nm </v>
      </c>
      <c r="N314" s="161"/>
      <c r="O314" s="161"/>
      <c r="P314" s="161"/>
      <c r="Q314" s="161"/>
      <c r="R314" s="140">
        <f>IFERROR(R313/R311,"nm ")</f>
        <v>0.0342610540385708</v>
      </c>
      <c r="S314" s="161"/>
      <c r="T314" s="161"/>
      <c r="U314" s="161"/>
      <c r="V314" s="161"/>
      <c r="W314" s="140">
        <f>IFERROR(W313/W311,"nm ")</f>
        <v>-0.00216173907962029</v>
      </c>
      <c r="X314" s="161"/>
      <c r="Y314" s="161"/>
      <c r="Z314" s="161"/>
      <c r="AA314" s="161"/>
      <c r="AB314" s="140">
        <f>IFERROR(AB313/AB311,"nm ")</f>
        <v>0.00151592180061931</v>
      </c>
      <c r="AC314" s="161"/>
      <c r="AD314" s="161"/>
      <c r="AE314" s="161"/>
      <c r="AF314" s="161"/>
      <c r="AG314" s="140">
        <f>IFERROR(AG313/AG311,"nm ")</f>
        <v>0.0121296434448019</v>
      </c>
      <c r="AH314" s="695"/>
      <c r="AI314" s="695"/>
      <c r="AJ314" s="695"/>
      <c r="AK314" s="695"/>
      <c r="AL314" s="140">
        <f>IFERROR(AL313/AL311,"nm ")</f>
        <v>0.00688968104910551</v>
      </c>
      <c r="AM314" s="291">
        <f>IFERROR(AM313/AM311*4,"nm ")</f>
        <v>0.00873145615021943</v>
      </c>
      <c r="AN314" s="291">
        <f>IFERROR(AN313/AN311*4,"nm ")</f>
        <v>0.0107389226079188</v>
      </c>
      <c r="AO314" s="291">
        <f>IFERROR(AO313/AO311*4,"nm ")</f>
        <v>0.0128911213985599</v>
      </c>
      <c r="AP314" s="291">
        <f>IFERROR(AP313/AP311*4,"nm ")</f>
        <v>0.0113208793300712</v>
      </c>
      <c r="AQ314" s="140">
        <f>IFERROR(AQ313/AQ311,"nm ")</f>
        <v>0.00991780843844036</v>
      </c>
      <c r="AR314" s="291">
        <f>IFERROR(AR313/AR311*4,"nm ")</f>
        <v>0.0101883850035254</v>
      </c>
      <c r="AS314" s="291">
        <f>IFERROR(AS313/AS311*4,"nm ")</f>
        <v>0.00864276114528265</v>
      </c>
      <c r="AT314" s="291">
        <f>IFERROR(AT313/AT311*4,"nm ")</f>
        <v>0.00959853610763837</v>
      </c>
      <c r="AU314" s="291">
        <f>IFERROR(AU313/AU311*4,"nm ")</f>
        <v>0.00935205180260952</v>
      </c>
      <c r="AV314" s="140">
        <f>IFERROR(AV313/AV311,"nm ")</f>
        <v>0.00895076767419702</v>
      </c>
      <c r="AW314" s="291">
        <f>IFERROR(AW313/AW311*4,"nm ")</f>
        <v>0.00906099072530666</v>
      </c>
      <c r="AX314" s="291">
        <f>IFERROR(AX313/AX311*4,"nm ")</f>
        <v>0.0102367034565123</v>
      </c>
      <c r="AY314" s="291">
        <f>IFERROR(AY313/AY311*4,"nm ")</f>
        <v>0.0106811515800553</v>
      </c>
      <c r="AZ314" s="291">
        <f>IFERROR(AZ313/AZ311*4,"nm ")</f>
        <v>0.0108161326778942</v>
      </c>
      <c r="BA314" s="140">
        <f>IFERROR(BA313/BA311,"nm ")</f>
        <v>0.010420151299071</v>
      </c>
      <c r="BB314" s="291">
        <f>IFERROR(BB313/BB311*4,"nm ")</f>
        <v>0.00320518646429762</v>
      </c>
      <c r="BC314" s="291">
        <f>IFERROR(BC313/BC311*4,"nm ")</f>
        <v>0.00562672963881508</v>
      </c>
      <c r="BD314" s="291">
        <f>IFERROR(BD313/BD311*4,"nm ")</f>
        <v>0.00606324917328952</v>
      </c>
      <c r="BE314" s="291">
        <f>IFERROR(BE313/BE311*4,"nm ")</f>
        <v>0.00829237243183988</v>
      </c>
      <c r="BF314" s="140">
        <f>IFERROR(BF313/BF311,"nm ")</f>
        <v>0.00518885280039384</v>
      </c>
      <c r="BG314" s="291">
        <f>IFERROR(BG313/BG311*4,"nm ")</f>
        <v>0.00543209500840681</v>
      </c>
      <c r="BH314" s="291">
        <f>IFERROR(BH313/BH311*4,"nm ")</f>
        <v>0.00647137081765549</v>
      </c>
      <c r="BI314" s="291">
        <f>IFERROR(BI313/BI311*4,"nm ")</f>
        <v>0.00652137957106965</v>
      </c>
      <c r="BJ314" s="291">
        <f>IFERROR(BJ313/BJ311*4,"nm ")</f>
        <v>0.00564172108700232</v>
      </c>
      <c r="BK314" s="140">
        <f>IFERROR(BK313/BK311,"nm ")</f>
        <v>0.00530118221054607</v>
      </c>
      <c r="BL314" s="291">
        <f>IFERROR(BL313/BL311*4,"nm ")</f>
        <v>0.00506302616292254</v>
      </c>
      <c r="BM314" s="291">
        <f>IFERROR(BM313/BM311*4,"nm ")</f>
        <v>0.00457625602236279</v>
      </c>
      <c r="BN314" s="291">
        <f>IFERROR(BN313/BN311*4,"nm ")</f>
        <v>0.00613739420360455</v>
      </c>
      <c r="BO314" s="291">
        <f>IFERROR(BO313/BO311*4,"nm ")</f>
        <v>0.005978464604966</v>
      </c>
      <c r="BP314" s="140">
        <f>IFERROR(BP313/BP311,"nm ")</f>
        <v>0.00463327087246797</v>
      </c>
      <c r="BQ314" s="291">
        <f>IFERROR(BQ313/BQ311*4,"nm ")</f>
        <v>0.0119280230875512</v>
      </c>
      <c r="BR314" s="291">
        <f>IFERROR(BR313/BR311*4,"nm ")</f>
        <v>0.00729644143699997</v>
      </c>
      <c r="BS314" s="291">
        <f>IFERROR(BS313/BS311*4,"nm ")</f>
        <v>0.0110378494553977</v>
      </c>
      <c r="BT314" s="291">
        <f>IFERROR(BT313/BT311*4,"nm ")</f>
        <v>0.0144410436569003</v>
      </c>
      <c r="BU314" s="140">
        <f>IFERROR(BU313/BU311,"nm ")</f>
        <v>0.0100586541127597</v>
      </c>
      <c r="BV314" s="291">
        <f>IFERROR(BV313/BV311*4,"nm ")</f>
        <v>0.0130574295003777</v>
      </c>
      <c r="BW314" s="291">
        <f>IFERROR(BW313/BW311*4,"nm ")</f>
        <v>0.0123335491704438</v>
      </c>
      <c r="BX314" s="291">
        <f>IFERROR(BX313/BX311*4,"nm ")</f>
        <v>0.0127284193369485</v>
      </c>
      <c r="BY314" s="291">
        <f>IFERROR(BY313/BY311*4,"nm ")</f>
        <v>0.0101401594848475</v>
      </c>
      <c r="BZ314" s="140">
        <f>IFERROR(BZ313/BZ311,"nm ")</f>
        <v>0.00838859139417417</v>
      </c>
      <c r="CA314" s="291">
        <f>IFERROR(CA313/CA311*4,"nm ")</f>
        <v>0.0049005719247111</v>
      </c>
      <c r="CB314" s="291">
        <f>IFERROR(CB313/CB311*4,"nm ")</f>
        <v>-0.00204457044704176</v>
      </c>
      <c r="CC314" s="291">
        <f>IFERROR(CC313/CC311*4,"nm ")</f>
        <v>-0.00461885028454706</v>
      </c>
      <c r="CD314" s="291">
        <f>IFERROR(CD313/CD311*4,"nm ")</f>
        <v>-0.00434287646942769</v>
      </c>
      <c r="CE314" s="140">
        <f>IFERROR(CE313/CE311,"nm ")</f>
        <v>-0.000566839362537444</v>
      </c>
      <c r="CF314" s="291">
        <f>IFERROR(CF313/CF311*4,"nm ")</f>
        <v>0.000779313517484774</v>
      </c>
      <c r="CG314" s="291">
        <f>IFERROR(CG313/CG311*4,"nm ")</f>
        <v>0.000326839108342058</v>
      </c>
      <c r="CH314" s="556">
        <f>IFERROR(CH313/CH311*4,"nm ")</f>
        <v>5.54622967306825e-5</v>
      </c>
      <c r="CI314" s="556">
        <f>IFERROR(CI313/CI311*4,"nm ")</f>
        <v>0.000624816393620128</v>
      </c>
      <c r="CJ314" s="140">
        <f>IFERROR(CJ313/CJ311,"nm ")</f>
        <v>0.000426487353903189</v>
      </c>
      <c r="CK314" s="291">
        <f>IFERROR(CK313/CK311*4,"nm ")</f>
        <v>-9.22003240631845e-5</v>
      </c>
      <c r="CL314" s="291">
        <f>IFERROR(CL313/CL311*4,"nm ")</f>
        <v>0.00101058764800535</v>
      </c>
      <c r="CM314" s="556">
        <f>IFERROR(CM313/CM311*4,"nm ")</f>
        <v>0.00310997057977227</v>
      </c>
      <c r="CN314" s="556">
        <f>IFERROR(CN313/CN311*4,"nm ")</f>
        <v>0.0196830362502993</v>
      </c>
      <c r="CO314" s="140">
        <f>IFERROR(CO313/CO311,"nm ")</f>
        <v>0.00344799311560923</v>
      </c>
      <c r="CP314" s="556">
        <f>IFERROR(CP313/CP311*4,"nm ")</f>
        <v>0.0304919462315849</v>
      </c>
      <c r="CQ314" s="556">
        <f>IFERROR(CQ313/CQ311*4,"nm ")</f>
        <v>0.0286161708379957</v>
      </c>
      <c r="CR314" s="556">
        <f>IFERROR(CR313/CR311*4,"nm ")</f>
        <v>0.0358107727042009</v>
      </c>
      <c r="CS314" s="556">
        <f>IFERROR(CS313/CS311*4,"nm ")</f>
        <v>0.0427692168381903</v>
      </c>
      <c r="CT314" s="140">
        <f>IFERROR(CT313/CT311,"nm ")</f>
        <v>0.0253374829868326</v>
      </c>
      <c r="CU314" s="556">
        <f>IFERROR(CU313/CU311*4,"nm ")</f>
        <v>0.0449409032334027</v>
      </c>
      <c r="CV314" s="556">
        <f>IFERROR(CV313/CV311*4,"nm ")</f>
        <v>0.0410028073501531</v>
      </c>
      <c r="CW314" s="556">
        <f>IFERROR(CW313/CW311*4,"nm ")</f>
        <v>0.039286325575811</v>
      </c>
      <c r="CX314" s="556">
        <f>IFERROR(CX313/CX311*4,"nm ")</f>
        <v>0.0387297474907454</v>
      </c>
      <c r="CY314" s="140">
        <f>IFERROR(CY313/CY311,"nm ")</f>
        <v>0.0332899195824712</v>
      </c>
      <c r="CZ314" s="556">
        <f>IFERROR(CZ313/CZ311*4,"nm ")</f>
        <v>0.0284891745487683</v>
      </c>
      <c r="DA314" s="556">
        <f>IFERROR(DA313/DA311*4,"nm ")</f>
        <v>0.0313961821249415</v>
      </c>
      <c r="DB314" s="556">
        <f>IFERROR(DB313/DB311*4,"nm ")</f>
        <v>0.0213683169256489</v>
      </c>
      <c r="DC314" s="556">
        <f>IFERROR(DC313/DC311*4,"nm ")</f>
        <v>0.00274351896404724</v>
      </c>
      <c r="DD314" s="140">
        <f>IFERROR(DD313/DD311,"nm ")</f>
        <v>0.0149554085967225</v>
      </c>
      <c r="DE314" s="556">
        <f>IFERROR(DE313/DE311*4,"nm ")</f>
        <v>0.0219896198927672</v>
      </c>
      <c r="DF314" s="556">
        <f>IFERROR(DF313/DF311*4,"nm ")</f>
        <v>0.0377294828033793</v>
      </c>
      <c r="DG314" s="557">
        <v>0.018</v>
      </c>
      <c r="DH314" s="557">
        <v>0.018</v>
      </c>
      <c r="DI314" s="140">
        <f>IFERROR(DI313/DI311,"nm ")</f>
        <v>0.0212531064844181</v>
      </c>
      <c r="DJ314" s="557">
        <v>0.0175</v>
      </c>
      <c r="DK314" s="557">
        <v>0.0175</v>
      </c>
      <c r="DL314" s="557">
        <v>0.0175</v>
      </c>
      <c r="DM314" s="557">
        <v>0.0175</v>
      </c>
      <c r="DN314" s="140">
        <f>IFERROR(DN313/DN311,"nm ")</f>
        <v>0.0160733922892246</v>
      </c>
      <c r="DO314" s="557">
        <v>0.0175</v>
      </c>
      <c r="DP314" s="557">
        <v>0.0175</v>
      </c>
      <c r="DQ314" s="557">
        <v>0.0175</v>
      </c>
      <c r="DR314" s="557">
        <v>0.0175</v>
      </c>
      <c r="DS314" s="140">
        <f>IFERROR(DS313/DS311,"nm ")</f>
        <v>0.0163021132043934</v>
      </c>
    </row>
    <row r="315" s="87" customFormat="1" spans="1:123">
      <c r="A315" s="161"/>
      <c r="B315" s="696" t="s">
        <v>226</v>
      </c>
      <c r="C315" s="697"/>
      <c r="D315" s="698"/>
      <c r="E315" s="698"/>
      <c r="F315" s="698"/>
      <c r="G315" s="698"/>
      <c r="H315" s="697"/>
      <c r="I315" s="698"/>
      <c r="J315" s="698"/>
      <c r="K315" s="698"/>
      <c r="L315" s="698"/>
      <c r="M315" s="699"/>
      <c r="N315" s="698"/>
      <c r="O315" s="698"/>
      <c r="P315" s="698"/>
      <c r="Q315" s="698"/>
      <c r="R315" s="699"/>
      <c r="S315" s="698"/>
      <c r="T315" s="698"/>
      <c r="U315" s="698"/>
      <c r="V315" s="698"/>
      <c r="W315" s="699"/>
      <c r="X315" s="698"/>
      <c r="Y315" s="698"/>
      <c r="Z315" s="698"/>
      <c r="AA315" s="698"/>
      <c r="AB315" s="699"/>
      <c r="AC315" s="698"/>
      <c r="AD315" s="698"/>
      <c r="AE315" s="698"/>
      <c r="AF315" s="698"/>
      <c r="AG315" s="699"/>
      <c r="AH315" s="700"/>
      <c r="AI315" s="700"/>
      <c r="AJ315" s="700"/>
      <c r="AK315" s="700"/>
      <c r="AL315" s="699"/>
      <c r="AM315" s="701"/>
      <c r="AN315" s="701"/>
      <c r="AO315" s="701"/>
      <c r="AP315" s="701"/>
      <c r="AQ315" s="699"/>
      <c r="AR315" s="701"/>
      <c r="AS315" s="701"/>
      <c r="AT315" s="701"/>
      <c r="AU315" s="701"/>
      <c r="AV315" s="699"/>
      <c r="AW315" s="701"/>
      <c r="AX315" s="701"/>
      <c r="AY315" s="701"/>
      <c r="AZ315" s="701"/>
      <c r="BA315" s="699"/>
      <c r="BB315" s="701"/>
      <c r="BC315" s="701"/>
      <c r="BD315" s="701"/>
      <c r="BE315" s="701"/>
      <c r="BF315" s="699"/>
      <c r="BG315" s="701"/>
      <c r="BH315" s="701"/>
      <c r="BI315" s="701"/>
      <c r="BJ315" s="701"/>
      <c r="BK315" s="699"/>
      <c r="BL315" s="701"/>
      <c r="BM315" s="701"/>
      <c r="BN315" s="701"/>
      <c r="BO315" s="701"/>
      <c r="BP315" s="699"/>
      <c r="BQ315" s="701"/>
      <c r="BR315" s="702"/>
      <c r="BS315" s="703">
        <v>1.67885606518167</v>
      </c>
      <c r="BT315" s="703">
        <v>2.22372283000145</v>
      </c>
      <c r="BU315" s="704">
        <v>8.77672283000146</v>
      </c>
      <c r="BV315" s="703">
        <v>2.33449289623955</v>
      </c>
      <c r="BW315" s="703">
        <v>1.93713380458049</v>
      </c>
      <c r="BX315" s="703">
        <v>1.92061151036437</v>
      </c>
      <c r="BY315" s="703">
        <v>2.46648220611081</v>
      </c>
      <c r="BZ315" s="704">
        <v>8.62048220611081</v>
      </c>
      <c r="CA315" s="703">
        <v>2.73679455624499</v>
      </c>
      <c r="CB315" s="703">
        <v>1.0159586955509</v>
      </c>
      <c r="CC315" s="703">
        <v>0.614811431213966</v>
      </c>
      <c r="CD315" s="703">
        <v>-0.886</v>
      </c>
      <c r="CE315" s="704">
        <v>-0.636</v>
      </c>
      <c r="CF315" s="703">
        <v>0.227</v>
      </c>
      <c r="CG315" s="703">
        <v>0.096</v>
      </c>
      <c r="CH315" s="703">
        <v>0.015</v>
      </c>
      <c r="CI315" s="703">
        <v>0.176</v>
      </c>
      <c r="CJ315" s="704">
        <v>0.514</v>
      </c>
      <c r="CK315" s="703">
        <v>-0.022</v>
      </c>
      <c r="CL315" s="703">
        <v>0.145</v>
      </c>
      <c r="CM315" s="703">
        <v>0.331</v>
      </c>
      <c r="CN315" s="703">
        <v>3.709</v>
      </c>
      <c r="CO315" s="704">
        <v>4.163</v>
      </c>
      <c r="CP315" s="703">
        <v>8.025</v>
      </c>
      <c r="CQ315" s="703">
        <v>7.362</v>
      </c>
      <c r="CR315" s="703">
        <v>9.842</v>
      </c>
      <c r="CS315" s="703">
        <v>17.83</v>
      </c>
      <c r="CT315" s="704">
        <v>43.059</v>
      </c>
      <c r="CU315" s="703">
        <v>23.283</v>
      </c>
      <c r="CV315" s="703">
        <v>17.994</v>
      </c>
      <c r="CW315" s="703">
        <v>13.743</v>
      </c>
      <c r="CX315" s="703">
        <v>15.36</v>
      </c>
      <c r="CY315" s="704">
        <v>70.38</v>
      </c>
      <c r="CZ315" s="703">
        <v>11.786</v>
      </c>
      <c r="DA315" s="703">
        <v>9.737</v>
      </c>
      <c r="DB315" s="703">
        <v>5.854</v>
      </c>
      <c r="DC315" s="703">
        <v>0.975</v>
      </c>
      <c r="DD315" s="704">
        <v>28.352</v>
      </c>
      <c r="DE315" s="703">
        <v>9.131</v>
      </c>
      <c r="DF315" s="703">
        <v>13.698</v>
      </c>
      <c r="DG315" s="703">
        <v>4.86223121669337</v>
      </c>
      <c r="DH315" s="703">
        <v>4.46823437149828</v>
      </c>
      <c r="DI315" s="704">
        <v>32.1594655881916</v>
      </c>
      <c r="DJ315" s="703">
        <v>5.59025758090868</v>
      </c>
      <c r="DK315" s="703">
        <v>5.88954380476367</v>
      </c>
      <c r="DL315" s="703">
        <v>4.82318900830819</v>
      </c>
      <c r="DM315" s="703">
        <v>5.01430337394889</v>
      </c>
      <c r="DN315" s="704">
        <v>21.3172937679294</v>
      </c>
      <c r="DO315" s="703">
        <v>6.54101243940314</v>
      </c>
      <c r="DP315" s="703">
        <v>6.87356927501791</v>
      </c>
      <c r="DQ315" s="703">
        <v>5.85162120108208</v>
      </c>
      <c r="DR315" s="703">
        <v>6.00286785144691</v>
      </c>
      <c r="DS315" s="704">
        <v>25.26907076695</v>
      </c>
    </row>
    <row r="316" spans="1:123">
      <c r="A316" s="132"/>
      <c r="B316" s="33"/>
      <c r="C316" s="131"/>
      <c r="D316" s="132"/>
      <c r="E316" s="132"/>
      <c r="F316" s="132"/>
      <c r="G316" s="132"/>
      <c r="H316" s="131"/>
      <c r="I316" s="132"/>
      <c r="J316" s="132"/>
      <c r="K316" s="132"/>
      <c r="L316" s="132"/>
      <c r="M316" s="131"/>
      <c r="N316" s="190"/>
      <c r="O316" s="190"/>
      <c r="P316" s="190"/>
      <c r="Q316" s="190"/>
      <c r="R316" s="131"/>
      <c r="S316" s="190"/>
      <c r="T316" s="190"/>
      <c r="U316" s="190"/>
      <c r="V316" s="190"/>
      <c r="W316" s="131"/>
      <c r="X316" s="190"/>
      <c r="Y316" s="190"/>
      <c r="Z316" s="190"/>
      <c r="AA316" s="190"/>
      <c r="AB316" s="131"/>
      <c r="AC316" s="190"/>
      <c r="AD316" s="190"/>
      <c r="AE316" s="190"/>
      <c r="AF316" s="190"/>
      <c r="AG316" s="131"/>
      <c r="AH316" s="132"/>
      <c r="AI316" s="132"/>
      <c r="AJ316" s="132"/>
      <c r="AK316" s="132"/>
      <c r="AL316" s="131"/>
      <c r="AM316" s="132"/>
      <c r="AN316" s="132"/>
      <c r="AO316" s="132"/>
      <c r="AP316" s="132"/>
      <c r="AQ316" s="131"/>
      <c r="AR316" s="132"/>
      <c r="AS316" s="132"/>
      <c r="AT316" s="132"/>
      <c r="AU316" s="132"/>
      <c r="AV316" s="131"/>
      <c r="AW316" s="132"/>
      <c r="AX316" s="132"/>
      <c r="AY316" s="132"/>
      <c r="AZ316" s="132"/>
      <c r="BA316" s="131"/>
      <c r="BB316" s="132"/>
      <c r="BC316" s="132"/>
      <c r="BD316" s="132"/>
      <c r="BE316" s="132"/>
      <c r="BF316" s="131"/>
      <c r="BG316" s="132"/>
      <c r="BH316" s="132"/>
      <c r="BI316" s="132"/>
      <c r="BJ316" s="132"/>
      <c r="BK316" s="131"/>
      <c r="BL316" s="132"/>
      <c r="BM316" s="132"/>
      <c r="BN316" s="132"/>
      <c r="BO316" s="132"/>
      <c r="BP316" s="131"/>
      <c r="BQ316" s="190"/>
      <c r="BR316" s="190"/>
      <c r="BS316" s="190"/>
      <c r="BT316" s="190"/>
      <c r="BU316" s="131"/>
      <c r="BV316" s="190"/>
      <c r="BW316" s="190"/>
      <c r="BX316" s="190"/>
      <c r="BY316" s="190"/>
      <c r="BZ316" s="131"/>
      <c r="CA316" s="190"/>
      <c r="CB316" s="190"/>
      <c r="CC316" s="190"/>
      <c r="CD316" s="190"/>
      <c r="CE316" s="131"/>
      <c r="CF316" s="190"/>
      <c r="CG316" s="190"/>
      <c r="CH316" s="190"/>
      <c r="CI316" s="190"/>
      <c r="CJ316" s="131"/>
      <c r="CK316" s="190"/>
      <c r="CL316" s="190"/>
      <c r="CM316" s="190"/>
      <c r="CN316" s="190"/>
      <c r="CO316" s="131"/>
      <c r="CP316" s="190"/>
      <c r="CQ316" s="190"/>
      <c r="CR316" s="190"/>
      <c r="CS316" s="190"/>
      <c r="CT316" s="131"/>
      <c r="CU316" s="190"/>
      <c r="CV316" s="190"/>
      <c r="CW316" s="190"/>
      <c r="CX316" s="190"/>
      <c r="CY316" s="131"/>
      <c r="CZ316" s="190"/>
      <c r="DA316" s="190"/>
      <c r="DB316" s="190"/>
      <c r="DC316" s="190"/>
      <c r="DD316" s="131"/>
      <c r="DE316" s="190"/>
      <c r="DF316" s="190"/>
      <c r="DG316" s="190"/>
      <c r="DH316" s="190"/>
      <c r="DI316" s="131"/>
      <c r="DJ316" s="190"/>
      <c r="DK316" s="190"/>
      <c r="DL316" s="190"/>
      <c r="DM316" s="190"/>
      <c r="DN316" s="131"/>
      <c r="DO316" s="190"/>
      <c r="DP316" s="190"/>
      <c r="DQ316" s="190"/>
      <c r="DR316" s="190"/>
      <c r="DS316" s="131"/>
    </row>
    <row r="317" ht="16.8" spans="1:123">
      <c r="B317" s="705" t="s">
        <v>227</v>
      </c>
      <c r="C317" s="706"/>
      <c r="D317" s="707"/>
      <c r="E317" s="707"/>
      <c r="F317" s="707"/>
      <c r="G317" s="707"/>
      <c r="H317" s="707"/>
      <c r="I317" s="707"/>
      <c r="J317" s="707"/>
      <c r="K317" s="707"/>
      <c r="L317" s="707"/>
      <c r="M317" s="707"/>
      <c r="N317" s="707"/>
      <c r="O317" s="707"/>
      <c r="P317" s="707"/>
      <c r="Q317" s="707"/>
      <c r="R317" s="707"/>
      <c r="S317" s="707"/>
      <c r="T317" s="707"/>
      <c r="U317" s="707"/>
      <c r="V317" s="707"/>
      <c r="W317" s="707"/>
      <c r="X317" s="707"/>
      <c r="Y317" s="707"/>
      <c r="Z317" s="707"/>
      <c r="AA317" s="707"/>
      <c r="AB317" s="707"/>
      <c r="AC317" s="707"/>
      <c r="AD317" s="707"/>
      <c r="AE317" s="707"/>
      <c r="AF317" s="707"/>
      <c r="AG317" s="707"/>
      <c r="AH317" s="707"/>
      <c r="AI317" s="707"/>
      <c r="AJ317" s="707"/>
      <c r="AK317" s="707"/>
      <c r="AL317" s="707"/>
      <c r="AM317" s="707"/>
      <c r="AN317" s="707"/>
      <c r="AO317" s="707"/>
      <c r="AP317" s="707"/>
      <c r="AQ317" s="707"/>
      <c r="AR317" s="707"/>
      <c r="AS317" s="707"/>
      <c r="AT317" s="707"/>
      <c r="AU317" s="707"/>
      <c r="AV317" s="707"/>
      <c r="AW317" s="707"/>
      <c r="AX317" s="707"/>
      <c r="AY317" s="707"/>
      <c r="AZ317" s="707"/>
      <c r="BA317" s="707"/>
      <c r="BB317" s="707"/>
      <c r="BC317" s="707"/>
      <c r="BD317" s="707"/>
      <c r="BE317" s="707"/>
      <c r="BF317" s="707"/>
      <c r="BG317" s="707"/>
      <c r="BH317" s="707"/>
      <c r="BI317" s="707"/>
      <c r="BJ317" s="707"/>
      <c r="BK317" s="707"/>
      <c r="BL317" s="707"/>
      <c r="BM317" s="707"/>
      <c r="BN317" s="707"/>
      <c r="BO317" s="707"/>
      <c r="BP317" s="707"/>
      <c r="BQ317" s="707"/>
      <c r="BR317" s="707"/>
      <c r="BS317" s="707"/>
      <c r="BT317" s="707"/>
      <c r="BU317" s="707"/>
      <c r="BV317" s="707"/>
      <c r="BW317" s="707"/>
      <c r="BX317" s="707"/>
      <c r="BY317" s="707"/>
      <c r="BZ317" s="707"/>
      <c r="CA317" s="707"/>
      <c r="CB317" s="707"/>
      <c r="CC317" s="707"/>
      <c r="CD317" s="707"/>
      <c r="CE317" s="707"/>
      <c r="CF317" s="707"/>
      <c r="CG317" s="707"/>
      <c r="CH317" s="707"/>
      <c r="CI317" s="707"/>
      <c r="CJ317" s="707"/>
      <c r="CK317" s="707"/>
      <c r="CL317" s="707"/>
      <c r="CM317" s="707"/>
      <c r="CN317" s="707"/>
      <c r="CO317" s="707"/>
      <c r="CP317" s="707"/>
      <c r="CQ317" s="707"/>
      <c r="CR317" s="707"/>
      <c r="CS317" s="707"/>
      <c r="CT317" s="707"/>
      <c r="CU317" s="707"/>
      <c r="CV317" s="707"/>
      <c r="CW317" s="707"/>
      <c r="CX317" s="707"/>
      <c r="CY317" s="707"/>
      <c r="CZ317" s="707"/>
      <c r="DA317" s="707"/>
      <c r="DB317" s="707"/>
      <c r="DC317" s="707"/>
      <c r="DD317" s="707"/>
      <c r="DE317" s="707"/>
      <c r="DF317" s="707"/>
      <c r="DG317" s="707"/>
      <c r="DH317" s="707"/>
      <c r="DI317" s="707"/>
      <c r="DJ317" s="707"/>
      <c r="DK317" s="707"/>
      <c r="DL317" s="707"/>
      <c r="DM317" s="707"/>
      <c r="DN317" s="707"/>
      <c r="DO317" s="707"/>
      <c r="DP317" s="707"/>
      <c r="DQ317" s="707"/>
      <c r="DR317" s="707"/>
      <c r="DS317" s="708"/>
    </row>
    <row r="318" spans="1:123">
      <c r="A318" s="6"/>
      <c r="B318" s="709" t="s">
        <v>228</v>
      </c>
      <c r="C318" s="124"/>
      <c r="H318" s="124"/>
      <c r="M318" s="124"/>
      <c r="R318" s="124"/>
      <c r="W318" s="124"/>
      <c r="AB318" s="124"/>
      <c r="AG318" s="124"/>
      <c r="AL318" s="124"/>
      <c r="AQ318" s="124"/>
      <c r="AV318" s="124"/>
      <c r="BA318" s="124"/>
      <c r="BF318" s="124"/>
      <c r="BK318" s="124"/>
      <c r="BP318" s="124"/>
      <c r="BU318" s="124"/>
      <c r="BZ318" s="124"/>
      <c r="CE318" s="124"/>
      <c r="CJ318" s="124"/>
      <c r="CO318" s="124"/>
      <c r="CT318" s="124"/>
      <c r="CY318" s="124"/>
      <c r="DD318" s="124"/>
      <c r="DI318" s="124"/>
      <c r="DN318" s="124"/>
      <c r="DS318" s="124"/>
    </row>
    <row r="319" spans="1:123">
      <c r="A319" s="6"/>
      <c r="B319" s="198" t="s">
        <v>219</v>
      </c>
      <c r="C319" s="124"/>
      <c r="H319" s="124"/>
      <c r="M319" s="124">
        <f>M305</f>
        <v>0</v>
      </c>
      <c r="R319" s="124">
        <f>R305</f>
        <v>0</v>
      </c>
      <c r="W319" s="124">
        <f>W305</f>
        <v>0</v>
      </c>
      <c r="AB319" s="124">
        <f>AB305</f>
        <v>0</v>
      </c>
      <c r="AG319" s="124">
        <f t="shared" ref="AG319:BL319" si="658">AG305</f>
        <v>0</v>
      </c>
      <c r="AH319" s="125">
        <f t="shared" si="658"/>
        <v>0</v>
      </c>
      <c r="AI319" s="125">
        <f t="shared" si="658"/>
        <v>0</v>
      </c>
      <c r="AJ319" s="125">
        <f t="shared" si="658"/>
        <v>0</v>
      </c>
      <c r="AK319" s="125">
        <f t="shared" si="658"/>
        <v>0</v>
      </c>
      <c r="AL319" s="124">
        <f t="shared" si="658"/>
        <v>0</v>
      </c>
      <c r="AM319" s="125">
        <f t="shared" si="658"/>
        <v>0</v>
      </c>
      <c r="AN319" s="125">
        <f t="shared" si="658"/>
        <v>0</v>
      </c>
      <c r="AO319" s="125">
        <f t="shared" si="658"/>
        <v>0</v>
      </c>
      <c r="AP319" s="125">
        <f t="shared" si="658"/>
        <v>0</v>
      </c>
      <c r="AQ319" s="124">
        <f t="shared" si="658"/>
        <v>0</v>
      </c>
      <c r="AR319" s="125">
        <f t="shared" si="658"/>
        <v>0</v>
      </c>
      <c r="AS319" s="125">
        <f t="shared" si="658"/>
        <v>0</v>
      </c>
      <c r="AT319" s="125">
        <f t="shared" si="658"/>
        <v>0</v>
      </c>
      <c r="AU319" s="125">
        <f t="shared" si="658"/>
        <v>0</v>
      </c>
      <c r="AV319" s="124">
        <f t="shared" si="658"/>
        <v>0</v>
      </c>
      <c r="AW319" s="125">
        <f t="shared" si="658"/>
        <v>0</v>
      </c>
      <c r="AX319" s="125">
        <f t="shared" si="658"/>
        <v>0</v>
      </c>
      <c r="AY319" s="125">
        <f t="shared" si="658"/>
        <v>0</v>
      </c>
      <c r="AZ319" s="125">
        <f t="shared" si="658"/>
        <v>0</v>
      </c>
      <c r="BA319" s="124">
        <f t="shared" si="658"/>
        <v>0</v>
      </c>
      <c r="BB319" s="125">
        <f t="shared" si="658"/>
        <v>0</v>
      </c>
      <c r="BC319" s="125">
        <f t="shared" si="658"/>
        <v>0</v>
      </c>
      <c r="BD319" s="125">
        <f t="shared" si="658"/>
        <v>0</v>
      </c>
      <c r="BE319" s="125">
        <f t="shared" si="658"/>
        <v>0</v>
      </c>
      <c r="BF319" s="124">
        <f t="shared" si="658"/>
        <v>0</v>
      </c>
      <c r="BG319" s="125">
        <f t="shared" si="658"/>
        <v>0</v>
      </c>
      <c r="BH319" s="125">
        <f t="shared" si="658"/>
        <v>0</v>
      </c>
      <c r="BI319" s="125">
        <f t="shared" si="658"/>
        <v>0</v>
      </c>
      <c r="BJ319" s="125">
        <f t="shared" si="658"/>
        <v>0</v>
      </c>
      <c r="BK319" s="124">
        <f t="shared" si="658"/>
        <v>0</v>
      </c>
      <c r="BL319" s="125">
        <f t="shared" si="658"/>
        <v>0</v>
      </c>
      <c r="BM319" s="125">
        <f t="shared" ref="BM319:CE319" si="659">BM305</f>
        <v>0</v>
      </c>
      <c r="BN319" s="125">
        <f t="shared" si="659"/>
        <v>0</v>
      </c>
      <c r="BO319" s="125">
        <f t="shared" si="659"/>
        <v>0</v>
      </c>
      <c r="BP319" s="124">
        <f t="shared" si="659"/>
        <v>0</v>
      </c>
      <c r="BQ319" s="125">
        <f t="shared" si="659"/>
        <v>0</v>
      </c>
      <c r="BR319" s="125">
        <f t="shared" si="659"/>
        <v>100</v>
      </c>
      <c r="BS319" s="125">
        <f t="shared" si="659"/>
        <v>0</v>
      </c>
      <c r="BT319" s="125">
        <f t="shared" si="659"/>
        <v>0</v>
      </c>
      <c r="BU319" s="124">
        <f t="shared" si="659"/>
        <v>0</v>
      </c>
      <c r="BV319" s="125">
        <f t="shared" si="659"/>
        <v>0</v>
      </c>
      <c r="BW319" s="125">
        <f t="shared" si="659"/>
        <v>0</v>
      </c>
      <c r="BX319" s="125">
        <f t="shared" si="659"/>
        <v>0</v>
      </c>
      <c r="BY319" s="125">
        <f t="shared" si="659"/>
        <v>0</v>
      </c>
      <c r="BZ319" s="124">
        <f t="shared" si="659"/>
        <v>0</v>
      </c>
      <c r="CA319" s="125">
        <f t="shared" si="659"/>
        <v>0</v>
      </c>
      <c r="CB319" s="125">
        <f t="shared" si="659"/>
        <v>0</v>
      </c>
      <c r="CC319" s="125">
        <f t="shared" si="659"/>
        <v>0</v>
      </c>
      <c r="CD319" s="125">
        <f t="shared" si="659"/>
        <v>0</v>
      </c>
      <c r="CE319" s="124">
        <f t="shared" si="659"/>
        <v>0</v>
      </c>
      <c r="CF319" s="125">
        <f t="shared" ref="CF319:CP319" si="660">CF305</f>
        <v>0</v>
      </c>
      <c r="CG319" s="125">
        <f t="shared" si="660"/>
        <v>0</v>
      </c>
      <c r="CH319" s="125">
        <f t="shared" si="660"/>
        <v>0</v>
      </c>
      <c r="CI319" s="125">
        <f t="shared" si="660"/>
        <v>0</v>
      </c>
      <c r="CJ319" s="124">
        <f t="shared" si="660"/>
        <v>0</v>
      </c>
      <c r="CK319" s="125">
        <f t="shared" si="660"/>
        <v>0</v>
      </c>
      <c r="CL319" s="125">
        <f t="shared" si="660"/>
        <v>0</v>
      </c>
      <c r="CM319" s="125">
        <f t="shared" si="660"/>
        <v>0</v>
      </c>
      <c r="CN319" s="125">
        <f t="shared" si="660"/>
        <v>0</v>
      </c>
      <c r="CO319" s="124">
        <f t="shared" si="660"/>
        <v>0</v>
      </c>
      <c r="CP319" s="125">
        <f t="shared" si="660"/>
        <v>0</v>
      </c>
      <c r="CQ319" s="125">
        <f t="shared" ref="CQ319:DI319" si="661">CQ305</f>
        <v>0</v>
      </c>
      <c r="CR319" s="125">
        <f t="shared" si="661"/>
        <v>0</v>
      </c>
      <c r="CS319" s="125">
        <f t="shared" si="661"/>
        <v>0</v>
      </c>
      <c r="CT319" s="124">
        <f t="shared" si="661"/>
        <v>0</v>
      </c>
      <c r="CU319" s="125">
        <f t="shared" si="661"/>
        <v>0</v>
      </c>
      <c r="CV319" s="125">
        <f t="shared" si="661"/>
        <v>0</v>
      </c>
      <c r="CW319" s="125">
        <f t="shared" si="661"/>
        <v>0</v>
      </c>
      <c r="CX319" s="125">
        <f t="shared" si="661"/>
        <v>0</v>
      </c>
      <c r="CY319" s="124">
        <f t="shared" si="661"/>
        <v>0</v>
      </c>
      <c r="CZ319" s="125">
        <f t="shared" si="661"/>
        <v>0</v>
      </c>
      <c r="DA319" s="125">
        <f t="shared" si="661"/>
        <v>0</v>
      </c>
      <c r="DB319" s="125">
        <f t="shared" si="661"/>
        <v>0</v>
      </c>
      <c r="DC319" s="125">
        <f t="shared" si="661"/>
        <v>0</v>
      </c>
      <c r="DD319" s="124">
        <f t="shared" si="661"/>
        <v>0</v>
      </c>
      <c r="DE319" s="125">
        <f t="shared" si="661"/>
        <v>0</v>
      </c>
      <c r="DF319" s="125">
        <f t="shared" si="661"/>
        <v>0</v>
      </c>
      <c r="DG319" s="125">
        <f t="shared" si="661"/>
        <v>0</v>
      </c>
      <c r="DH319" s="125">
        <f t="shared" si="661"/>
        <v>0</v>
      </c>
      <c r="DI319" s="124">
        <f t="shared" si="661"/>
        <v>0</v>
      </c>
      <c r="DJ319" s="125">
        <f t="shared" ref="DJ319:DN319" si="662">DJ305</f>
        <v>0</v>
      </c>
      <c r="DK319" s="125">
        <f t="shared" si="662"/>
        <v>0</v>
      </c>
      <c r="DL319" s="125">
        <f t="shared" si="662"/>
        <v>0</v>
      </c>
      <c r="DM319" s="125">
        <f t="shared" si="662"/>
        <v>0</v>
      </c>
      <c r="DN319" s="124">
        <f t="shared" si="662"/>
        <v>0</v>
      </c>
      <c r="DO319" s="125">
        <f t="shared" ref="DO319:DS319" si="663">DO305</f>
        <v>0</v>
      </c>
      <c r="DP319" s="125">
        <f t="shared" si="663"/>
        <v>0</v>
      </c>
      <c r="DQ319" s="125">
        <f t="shared" si="663"/>
        <v>0</v>
      </c>
      <c r="DR319" s="125">
        <f t="shared" si="663"/>
        <v>0</v>
      </c>
      <c r="DS319" s="124">
        <f t="shared" si="663"/>
        <v>0</v>
      </c>
    </row>
    <row r="320" spans="1:123">
      <c r="A320" s="6"/>
      <c r="B320" s="198" t="s">
        <v>229</v>
      </c>
      <c r="C320" s="124"/>
      <c r="H320" s="124"/>
      <c r="M320" s="124">
        <f>M319-M173</f>
        <v>-16.028534</v>
      </c>
      <c r="R320" s="124">
        <f>R319-R173</f>
        <v>-53.339326</v>
      </c>
      <c r="W320" s="124">
        <f>W319-W173</f>
        <v>-56.797</v>
      </c>
      <c r="AB320" s="124">
        <f>AB319-AB173</f>
        <v>-159.573</v>
      </c>
      <c r="AG320" s="124">
        <f t="shared" ref="AG320:CR320" si="664">AG319-AG173</f>
        <v>-316.286</v>
      </c>
      <c r="AH320" s="125">
        <f t="shared" si="664"/>
        <v>-260.871</v>
      </c>
      <c r="AI320" s="125">
        <f t="shared" si="664"/>
        <v>-264.728</v>
      </c>
      <c r="AJ320" s="125">
        <f t="shared" si="664"/>
        <v>-276.946</v>
      </c>
      <c r="AK320" s="125">
        <f t="shared" si="664"/>
        <v>-409.437</v>
      </c>
      <c r="AL320" s="124">
        <f t="shared" si="664"/>
        <v>-409.437</v>
      </c>
      <c r="AM320" s="125">
        <f t="shared" si="664"/>
        <v>-424.33</v>
      </c>
      <c r="AN320" s="125">
        <f t="shared" si="664"/>
        <v>-444.286</v>
      </c>
      <c r="AO320" s="125">
        <f t="shared" si="664"/>
        <v>-439.423</v>
      </c>
      <c r="AP320" s="125">
        <f t="shared" si="664"/>
        <v>-590.179</v>
      </c>
      <c r="AQ320" s="124">
        <f t="shared" si="664"/>
        <v>-590.179</v>
      </c>
      <c r="AR320" s="125">
        <f t="shared" si="664"/>
        <v>-588.418</v>
      </c>
      <c r="AS320" s="125">
        <f t="shared" si="664"/>
        <v>-610.273</v>
      </c>
      <c r="AT320" s="125">
        <f t="shared" si="664"/>
        <v>-600.745</v>
      </c>
      <c r="AU320" s="125">
        <f t="shared" si="664"/>
        <v>-698.649</v>
      </c>
      <c r="AV320" s="124">
        <f t="shared" si="664"/>
        <v>-698.649</v>
      </c>
      <c r="AW320" s="125">
        <f t="shared" si="664"/>
        <v>-751.965</v>
      </c>
      <c r="AX320" s="125">
        <f t="shared" si="664"/>
        <v>-725.073</v>
      </c>
      <c r="AY320" s="125">
        <f t="shared" si="664"/>
        <v>-633.582</v>
      </c>
      <c r="AZ320" s="125">
        <f t="shared" si="664"/>
        <v>-664.479</v>
      </c>
      <c r="BA320" s="124">
        <f t="shared" si="664"/>
        <v>-664.479</v>
      </c>
      <c r="BB320" s="125">
        <f t="shared" si="664"/>
        <v>-655.881</v>
      </c>
      <c r="BC320" s="125">
        <f t="shared" si="664"/>
        <v>-541.262</v>
      </c>
      <c r="BD320" s="125">
        <f t="shared" si="664"/>
        <v>-403.446</v>
      </c>
      <c r="BE320" s="125">
        <f t="shared" si="664"/>
        <v>-501.482</v>
      </c>
      <c r="BF320" s="124">
        <f t="shared" si="664"/>
        <v>-501.482</v>
      </c>
      <c r="BG320" s="125">
        <f t="shared" si="664"/>
        <v>-550.046</v>
      </c>
      <c r="BH320" s="125">
        <f t="shared" si="664"/>
        <v>-535.35</v>
      </c>
      <c r="BI320" s="125">
        <f t="shared" si="664"/>
        <v>-480.386</v>
      </c>
      <c r="BJ320" s="125">
        <f t="shared" si="664"/>
        <v>-734.846</v>
      </c>
      <c r="BK320" s="124">
        <f t="shared" si="664"/>
        <v>-734.846</v>
      </c>
      <c r="BL320" s="125">
        <f t="shared" si="664"/>
        <v>-698.289</v>
      </c>
      <c r="BM320" s="125">
        <f t="shared" si="664"/>
        <v>-721.212</v>
      </c>
      <c r="BN320" s="125">
        <f t="shared" si="664"/>
        <v>-650.054</v>
      </c>
      <c r="BO320" s="125">
        <f t="shared" si="664"/>
        <v>-990.501</v>
      </c>
      <c r="BP320" s="124">
        <f t="shared" si="664"/>
        <v>-990.501</v>
      </c>
      <c r="BQ320" s="125">
        <f t="shared" si="664"/>
        <v>-966.571</v>
      </c>
      <c r="BR320" s="125">
        <f t="shared" si="664"/>
        <v>-677.841</v>
      </c>
      <c r="BS320" s="125">
        <f t="shared" si="664"/>
        <v>-703.607</v>
      </c>
      <c r="BT320" s="125">
        <f t="shared" si="664"/>
        <v>-881.32</v>
      </c>
      <c r="BU320" s="124">
        <f t="shared" si="664"/>
        <v>-881.32</v>
      </c>
      <c r="BV320" s="125">
        <f t="shared" si="664"/>
        <v>-576.241</v>
      </c>
      <c r="BW320" s="125">
        <f t="shared" si="664"/>
        <v>-623.738</v>
      </c>
      <c r="BX320" s="125">
        <f t="shared" si="664"/>
        <v>-586.153</v>
      </c>
      <c r="BY320" s="125">
        <f t="shared" si="664"/>
        <v>-1093.505</v>
      </c>
      <c r="BZ320" s="124">
        <f t="shared" si="664"/>
        <v>-1093.505</v>
      </c>
      <c r="CA320" s="125">
        <f t="shared" si="664"/>
        <v>-823.006</v>
      </c>
      <c r="CB320" s="125">
        <f t="shared" si="664"/>
        <v>-522.998</v>
      </c>
      <c r="CC320" s="125">
        <f t="shared" si="664"/>
        <v>-481.581</v>
      </c>
      <c r="CD320" s="125">
        <f t="shared" si="664"/>
        <v>-1150.517</v>
      </c>
      <c r="CE320" s="124">
        <f t="shared" si="664"/>
        <v>-1150.517</v>
      </c>
      <c r="CF320" s="125">
        <f t="shared" si="664"/>
        <v>-1179.739</v>
      </c>
      <c r="CG320" s="125">
        <f t="shared" si="664"/>
        <v>-1170.041</v>
      </c>
      <c r="CH320" s="125">
        <f t="shared" si="664"/>
        <v>-993.591</v>
      </c>
      <c r="CI320" s="125">
        <f t="shared" si="664"/>
        <v>-1259.871</v>
      </c>
      <c r="CJ320" s="124">
        <f t="shared" si="664"/>
        <v>-1259.871</v>
      </c>
      <c r="CK320" s="125">
        <f t="shared" si="664"/>
        <v>-649.016</v>
      </c>
      <c r="CL320" s="125">
        <f t="shared" si="664"/>
        <v>-498.831</v>
      </c>
      <c r="CM320" s="125">
        <f t="shared" si="664"/>
        <v>-352.624</v>
      </c>
      <c r="CN320" s="125">
        <f t="shared" si="664"/>
        <v>-1154.867</v>
      </c>
      <c r="CO320" s="124">
        <f t="shared" si="664"/>
        <v>-1154.867</v>
      </c>
      <c r="CP320" s="125">
        <f t="shared" si="664"/>
        <v>-950.607</v>
      </c>
      <c r="CQ320" s="125">
        <f t="shared" si="664"/>
        <v>-1107.53</v>
      </c>
      <c r="CR320" s="125">
        <f t="shared" si="664"/>
        <v>-1091.138</v>
      </c>
      <c r="CS320" s="125">
        <f t="shared" ref="CS320:DS320" si="665">CS319-CS173</f>
        <v>-2243.971</v>
      </c>
      <c r="CT320" s="124">
        <f t="shared" si="665"/>
        <v>-2243.971</v>
      </c>
      <c r="CU320" s="125">
        <f t="shared" si="665"/>
        <v>-1900.672</v>
      </c>
      <c r="CV320" s="125">
        <f t="shared" si="665"/>
        <v>-1610.112</v>
      </c>
      <c r="CW320" s="125">
        <f t="shared" si="665"/>
        <v>-1188.419</v>
      </c>
      <c r="CX320" s="125">
        <f t="shared" si="665"/>
        <v>-1984.336</v>
      </c>
      <c r="CY320" s="124">
        <f t="shared" si="665"/>
        <v>-1984.336</v>
      </c>
      <c r="CZ320" s="125">
        <f t="shared" si="665"/>
        <v>-1325.272</v>
      </c>
      <c r="DA320" s="125">
        <f t="shared" si="665"/>
        <v>-1155.794</v>
      </c>
      <c r="DB320" s="125">
        <f t="shared" si="665"/>
        <v>-1035.862</v>
      </c>
      <c r="DC320" s="125">
        <f t="shared" si="665"/>
        <v>-1807.202</v>
      </c>
      <c r="DD320" s="124">
        <f t="shared" si="665"/>
        <v>-1807.202</v>
      </c>
      <c r="DE320" s="125">
        <f t="shared" si="665"/>
        <v>-1514.729</v>
      </c>
      <c r="DF320" s="125">
        <f t="shared" si="665"/>
        <v>-1389.737</v>
      </c>
      <c r="DG320" s="125">
        <f t="shared" si="665"/>
        <v>-771.25562949517</v>
      </c>
      <c r="DH320" s="125">
        <f t="shared" si="665"/>
        <v>-1220.33848705124</v>
      </c>
      <c r="DI320" s="124">
        <f t="shared" si="665"/>
        <v>-1220.33848705124</v>
      </c>
      <c r="DJ320" s="125">
        <f t="shared" si="665"/>
        <v>-1346.41163608539</v>
      </c>
      <c r="DK320" s="125">
        <f t="shared" si="665"/>
        <v>-1356.54974661454</v>
      </c>
      <c r="DL320" s="125">
        <f t="shared" si="665"/>
        <v>-854.47308158389</v>
      </c>
      <c r="DM320" s="125">
        <f t="shared" si="665"/>
        <v>-1440.50163464268</v>
      </c>
      <c r="DN320" s="124">
        <f t="shared" si="665"/>
        <v>-1440.50163464268</v>
      </c>
      <c r="DO320" s="125">
        <f t="shared" si="665"/>
        <v>-1550.43874532979</v>
      </c>
      <c r="DP320" s="125">
        <f t="shared" si="665"/>
        <v>-1587.00092406941</v>
      </c>
      <c r="DQ320" s="125">
        <f t="shared" si="665"/>
        <v>-1073.93368498903</v>
      </c>
      <c r="DR320" s="125">
        <f t="shared" si="665"/>
        <v>-1649.05710596887</v>
      </c>
      <c r="DS320" s="124">
        <f t="shared" si="665"/>
        <v>-1649.05710596887</v>
      </c>
    </row>
    <row r="321" spans="1:123">
      <c r="A321" s="6"/>
      <c r="B321" s="198" t="s">
        <v>230</v>
      </c>
      <c r="C321" s="124"/>
      <c r="H321" s="124"/>
      <c r="M321" s="710">
        <f>M320/M216</f>
        <v>-0.571868217809312</v>
      </c>
      <c r="N321" s="711"/>
      <c r="O321" s="711"/>
      <c r="P321" s="711"/>
      <c r="Q321" s="711"/>
      <c r="R321" s="710">
        <f>R320/R216</f>
        <v>-0.913093538199831</v>
      </c>
      <c r="S321" s="711"/>
      <c r="T321" s="711"/>
      <c r="U321" s="711"/>
      <c r="V321" s="711"/>
      <c r="W321" s="710">
        <f>W320/W216</f>
        <v>-0.741583480564362</v>
      </c>
      <c r="X321" s="711"/>
      <c r="Y321" s="711"/>
      <c r="Z321" s="711"/>
      <c r="AA321" s="711"/>
      <c r="AB321" s="710">
        <f>AB320/AB216</f>
        <v>-1.48337888337331</v>
      </c>
      <c r="AC321" s="711"/>
      <c r="AD321" s="711"/>
      <c r="AE321" s="711"/>
      <c r="AF321" s="711"/>
      <c r="AG321" s="710">
        <f t="shared" ref="AG321:BL321" si="666">AG320/AG216</f>
        <v>-1.54282090680715</v>
      </c>
      <c r="AH321" s="748" t="s">
        <v>208</v>
      </c>
      <c r="AI321" s="141" t="s">
        <v>208</v>
      </c>
      <c r="AJ321" s="141" t="s">
        <v>208</v>
      </c>
      <c r="AK321" s="141" t="s">
        <v>208</v>
      </c>
      <c r="AL321" s="710">
        <f t="shared" si="666"/>
        <v>-1.29071581913958</v>
      </c>
      <c r="AM321" s="711">
        <f t="shared" si="666"/>
        <v>-1.23945529747161</v>
      </c>
      <c r="AN321" s="711">
        <f t="shared" si="666"/>
        <v>-1.25074179799447</v>
      </c>
      <c r="AO321" s="711">
        <f t="shared" si="666"/>
        <v>-1.15557349630783</v>
      </c>
      <c r="AP321" s="711">
        <f t="shared" si="666"/>
        <v>-1.40706753544616</v>
      </c>
      <c r="AQ321" s="710">
        <f t="shared" si="666"/>
        <v>-1.40706753544616</v>
      </c>
      <c r="AR321" s="711">
        <f t="shared" si="666"/>
        <v>-1.42063380927778</v>
      </c>
      <c r="AS321" s="711">
        <f t="shared" si="666"/>
        <v>-1.43462336825823</v>
      </c>
      <c r="AT321" s="711">
        <f t="shared" si="666"/>
        <v>-1.36985317423218</v>
      </c>
      <c r="AU321" s="711">
        <f t="shared" si="666"/>
        <v>-1.58630280682793</v>
      </c>
      <c r="AV321" s="710">
        <f t="shared" si="666"/>
        <v>-1.58630280682793</v>
      </c>
      <c r="AW321" s="711">
        <f t="shared" si="666"/>
        <v>-1.68954701405849</v>
      </c>
      <c r="AX321" s="711">
        <f t="shared" si="666"/>
        <v>-1.66473347430484</v>
      </c>
      <c r="AY321" s="711">
        <f t="shared" si="666"/>
        <v>-1.48357275824523</v>
      </c>
      <c r="AZ321" s="711">
        <f t="shared" si="666"/>
        <v>-1.52959145151191</v>
      </c>
      <c r="BA321" s="710">
        <f t="shared" si="666"/>
        <v>-1.52965835399416</v>
      </c>
      <c r="BB321" s="711">
        <f t="shared" si="666"/>
        <v>-1.50332464639102</v>
      </c>
      <c r="BC321" s="711">
        <f t="shared" si="666"/>
        <v>-1.2357100295194</v>
      </c>
      <c r="BD321" s="711">
        <f t="shared" si="666"/>
        <v>-0.940139909678562</v>
      </c>
      <c r="BE321" s="711">
        <f t="shared" si="666"/>
        <v>-1.13339767074463</v>
      </c>
      <c r="BF321" s="710">
        <f t="shared" si="666"/>
        <v>-1.13339767074463</v>
      </c>
      <c r="BG321" s="711">
        <f t="shared" si="666"/>
        <v>-1.26418004095601</v>
      </c>
      <c r="BH321" s="711">
        <f t="shared" si="666"/>
        <v>-1.19957246954854</v>
      </c>
      <c r="BI321" s="711">
        <f t="shared" si="666"/>
        <v>-1.0106325683943</v>
      </c>
      <c r="BJ321" s="711">
        <f t="shared" si="666"/>
        <v>-1.44413372139869</v>
      </c>
      <c r="BK321" s="710">
        <f t="shared" si="666"/>
        <v>-1.44413372139869</v>
      </c>
      <c r="BL321" s="711">
        <f t="shared" si="666"/>
        <v>-1.34697952011049</v>
      </c>
      <c r="BM321" s="711">
        <f t="shared" ref="BM321:CE321" si="667">BM320/BM216</f>
        <v>-1.36981815833558</v>
      </c>
      <c r="BN321" s="711">
        <f t="shared" si="667"/>
        <v>-1.1907539227503</v>
      </c>
      <c r="BO321" s="711">
        <f t="shared" si="667"/>
        <v>-1.61985526799951</v>
      </c>
      <c r="BP321" s="710">
        <f t="shared" si="667"/>
        <v>-1.61989765462607</v>
      </c>
      <c r="BQ321" s="711">
        <f t="shared" si="667"/>
        <v>-1.47294416328745</v>
      </c>
      <c r="BR321" s="711">
        <f t="shared" si="667"/>
        <v>-0.946001091366343</v>
      </c>
      <c r="BS321" s="711">
        <f t="shared" si="667"/>
        <v>-0.940936621140373</v>
      </c>
      <c r="BT321" s="711">
        <f t="shared" si="667"/>
        <v>-1.06398493335909</v>
      </c>
      <c r="BU321" s="710">
        <f t="shared" si="667"/>
        <v>-1.06398493335909</v>
      </c>
      <c r="BV321" s="711">
        <f t="shared" si="667"/>
        <v>-0.670923776047094</v>
      </c>
      <c r="BW321" s="711">
        <f t="shared" si="667"/>
        <v>-0.69181693755726</v>
      </c>
      <c r="BX321" s="711">
        <f t="shared" si="667"/>
        <v>-0.614508898617821</v>
      </c>
      <c r="BY321" s="711">
        <f t="shared" si="667"/>
        <v>-1.040399869463</v>
      </c>
      <c r="BZ321" s="710">
        <f t="shared" si="667"/>
        <v>-1.040399869463</v>
      </c>
      <c r="CA321" s="711">
        <f t="shared" si="667"/>
        <v>-0.852245697640343</v>
      </c>
      <c r="CB321" s="711">
        <f t="shared" si="667"/>
        <v>-0.558384500980647</v>
      </c>
      <c r="CC321" s="711">
        <f t="shared" si="667"/>
        <v>-0.491780528153912</v>
      </c>
      <c r="CD321" s="711">
        <f t="shared" si="667"/>
        <v>-1.11348149209154</v>
      </c>
      <c r="CE321" s="710">
        <f t="shared" si="667"/>
        <v>-1.11348149209154</v>
      </c>
      <c r="CF321" s="711">
        <f t="shared" ref="CF321:CP321" si="668">CF320/CF216</f>
        <v>-0.975839324768311</v>
      </c>
      <c r="CG321" s="711">
        <f t="shared" si="668"/>
        <v>-0.84464675150858</v>
      </c>
      <c r="CH321" s="711">
        <f t="shared" si="668"/>
        <v>-0.679240987806912</v>
      </c>
      <c r="CI321" s="711">
        <f t="shared" si="668"/>
        <v>-0.787933994390086</v>
      </c>
      <c r="CJ321" s="710">
        <f t="shared" si="668"/>
        <v>-0.787933994390086</v>
      </c>
      <c r="CK321" s="711">
        <f t="shared" si="668"/>
        <v>-0.388213436758659</v>
      </c>
      <c r="CL321" s="711">
        <f t="shared" si="668"/>
        <v>-0.280559103571507</v>
      </c>
      <c r="CM321" s="711">
        <f t="shared" si="668"/>
        <v>-0.188612657369327</v>
      </c>
      <c r="CN321" s="711">
        <f t="shared" si="668"/>
        <v>-0.554995050123507</v>
      </c>
      <c r="CO321" s="710">
        <f t="shared" si="668"/>
        <v>-0.554995050123507</v>
      </c>
      <c r="CP321" s="711">
        <f t="shared" si="668"/>
        <v>-0.424080322166621</v>
      </c>
      <c r="CQ321" s="711">
        <f t="shared" ref="CQ321:DI321" si="669">CQ320/CQ216</f>
        <v>-0.470121060853029</v>
      </c>
      <c r="CR321" s="711">
        <f t="shared" si="669"/>
        <v>-0.4438192261276</v>
      </c>
      <c r="CS321" s="711">
        <f t="shared" si="669"/>
        <v>-0.859670072444613</v>
      </c>
      <c r="CT321" s="710">
        <f t="shared" si="669"/>
        <v>-0.859670072444613</v>
      </c>
      <c r="CU321" s="711">
        <f t="shared" si="669"/>
        <v>-0.716385597297694</v>
      </c>
      <c r="CV321" s="711">
        <f t="shared" si="669"/>
        <v>-0.591154447999283</v>
      </c>
      <c r="CW321" s="711">
        <f t="shared" si="669"/>
        <v>-0.425401626551739</v>
      </c>
      <c r="CX321" s="711">
        <f t="shared" si="669"/>
        <v>-0.67215022181605</v>
      </c>
      <c r="CY321" s="710">
        <f t="shared" si="669"/>
        <v>-0.67215022181605</v>
      </c>
      <c r="CZ321" s="711">
        <f t="shared" si="669"/>
        <v>-0.44517419366108</v>
      </c>
      <c r="DA321" s="711">
        <f t="shared" si="669"/>
        <v>-0.388279788652147</v>
      </c>
      <c r="DB321" s="711">
        <f t="shared" si="669"/>
        <v>-0.352839390024283</v>
      </c>
      <c r="DC321" s="711">
        <f t="shared" si="669"/>
        <v>-0.667641972585776</v>
      </c>
      <c r="DD321" s="710">
        <f t="shared" si="669"/>
        <v>-0.667641972585776</v>
      </c>
      <c r="DE321" s="711">
        <f t="shared" si="669"/>
        <v>-0.590314384034108</v>
      </c>
      <c r="DF321" s="711">
        <f t="shared" si="669"/>
        <v>-0.551827609784842</v>
      </c>
      <c r="DG321" s="711">
        <f t="shared" si="669"/>
        <v>-0.341897477630262</v>
      </c>
      <c r="DH321" s="711">
        <f t="shared" si="669"/>
        <v>-0.581631485731614</v>
      </c>
      <c r="DI321" s="710">
        <f t="shared" si="669"/>
        <v>-0.581631485731614</v>
      </c>
      <c r="DJ321" s="711">
        <f t="shared" ref="DJ321:DN321" si="670">DJ320/DJ216</f>
        <v>-0.646514316027399</v>
      </c>
      <c r="DK321" s="711">
        <f t="shared" si="670"/>
        <v>-0.700412092192059</v>
      </c>
      <c r="DL321" s="711">
        <f t="shared" si="670"/>
        <v>-0.439785994584608</v>
      </c>
      <c r="DM321" s="711">
        <f t="shared" si="670"/>
        <v>-0.744547174627564</v>
      </c>
      <c r="DN321" s="710">
        <f t="shared" si="670"/>
        <v>-0.744547174627565</v>
      </c>
      <c r="DO321" s="711">
        <f t="shared" ref="DO321:DS321" si="671">DO320/DO216</f>
        <v>-0.794181348888414</v>
      </c>
      <c r="DP321" s="711">
        <f t="shared" si="671"/>
        <v>-0.804943391232249</v>
      </c>
      <c r="DQ321" s="711">
        <f t="shared" si="671"/>
        <v>-0.539251852036691</v>
      </c>
      <c r="DR321" s="711">
        <f t="shared" si="671"/>
        <v>-0.820625031665993</v>
      </c>
      <c r="DS321" s="710">
        <f t="shared" si="671"/>
        <v>-0.820625031665992</v>
      </c>
    </row>
    <row r="322" spans="1:123">
      <c r="A322" s="6"/>
      <c r="B322" s="198" t="s">
        <v>231</v>
      </c>
      <c r="C322" s="124"/>
      <c r="H322" s="124"/>
      <c r="M322" s="124">
        <f>-8*M79</f>
        <v>73.6</v>
      </c>
      <c r="R322" s="124">
        <f>-8*R79</f>
        <v>152.049712</v>
      </c>
      <c r="W322" s="124">
        <f>-8*W79</f>
        <v>261.611032</v>
      </c>
      <c r="AB322" s="124">
        <f>-8*AB79</f>
        <v>333.112</v>
      </c>
      <c r="AG322" s="124">
        <f>-8*AG79</f>
        <v>424.568</v>
      </c>
      <c r="AL322" s="124">
        <f>-8*AL79</f>
        <v>536.936</v>
      </c>
      <c r="AQ322" s="124">
        <f>-8*AQ79</f>
        <v>659.424</v>
      </c>
      <c r="AV322" s="124">
        <f>-8*AV79</f>
        <v>666.944</v>
      </c>
      <c r="BA322" s="124">
        <f>-8*BA79</f>
        <v>800.232</v>
      </c>
      <c r="BF322" s="124">
        <f>-8*BF79</f>
        <v>995.848</v>
      </c>
      <c r="BK322" s="124">
        <f>-8*BK79</f>
        <v>1179.2</v>
      </c>
      <c r="BP322" s="124">
        <f>-8*BP79</f>
        <v>1338.4</v>
      </c>
      <c r="BU322" s="124">
        <f>-8*BU79</f>
        <v>1584</v>
      </c>
      <c r="BZ322" s="124">
        <f>-8*BZ79</f>
        <v>2053.456</v>
      </c>
      <c r="CE322" s="124">
        <f>-8*CE79</f>
        <v>2129.68</v>
      </c>
      <c r="CJ322" s="124">
        <f>-8*CJ79</f>
        <v>2550.136</v>
      </c>
      <c r="CO322" s="124">
        <f>-8*CO79</f>
        <v>3015.984</v>
      </c>
      <c r="CT322" s="124">
        <f>-8*CT79</f>
        <v>3607.744</v>
      </c>
      <c r="CY322" s="124">
        <f>-8*CY79</f>
        <v>4303.176</v>
      </c>
      <c r="DD322" s="124">
        <f>-8*DD79</f>
        <v>4849.8</v>
      </c>
      <c r="DI322" s="124">
        <f>-8*DI79</f>
        <v>5577.27</v>
      </c>
      <c r="DN322" s="124">
        <f>-8*DN79</f>
        <v>6413.8605</v>
      </c>
      <c r="DS322" s="124">
        <f>-8*DS79</f>
        <v>7375.939575</v>
      </c>
    </row>
    <row r="323" spans="1:123">
      <c r="A323" s="6"/>
      <c r="B323" s="198" t="s">
        <v>232</v>
      </c>
      <c r="C323" s="124"/>
      <c r="H323" s="124"/>
      <c r="M323" s="124">
        <f>SUM(M320,M322)</f>
        <v>57.571466</v>
      </c>
      <c r="R323" s="124">
        <f>SUM(R320,R322)</f>
        <v>98.710386</v>
      </c>
      <c r="W323" s="124">
        <f>SUM(W320,W322)</f>
        <v>204.814032</v>
      </c>
      <c r="AB323" s="124">
        <f>SUM(AB320,AB322)</f>
        <v>173.539</v>
      </c>
      <c r="AG323" s="124">
        <f>SUM(AG320,AG322)</f>
        <v>108.282</v>
      </c>
      <c r="AL323" s="124">
        <f>SUM(AL320,AL322)</f>
        <v>127.499</v>
      </c>
      <c r="AQ323" s="124">
        <f>SUM(AQ320,AQ322)</f>
        <v>69.245</v>
      </c>
      <c r="AV323" s="124">
        <f>SUM(AV320,AV322)</f>
        <v>-31.705</v>
      </c>
      <c r="BA323" s="124">
        <f>SUM(BA320,BA322)</f>
        <v>135.753</v>
      </c>
      <c r="BF323" s="124">
        <f>SUM(BF320,BF322)</f>
        <v>494.366</v>
      </c>
      <c r="BK323" s="124">
        <f>SUM(BK320,BK322)</f>
        <v>444.354</v>
      </c>
      <c r="BP323" s="124">
        <f>SUM(BP320,BP322)</f>
        <v>347.899</v>
      </c>
      <c r="BU323" s="124">
        <f>SUM(BU320,BU322)</f>
        <v>702.68</v>
      </c>
      <c r="BZ323" s="124">
        <f>SUM(BZ320,BZ322)</f>
        <v>959.951</v>
      </c>
      <c r="CE323" s="124">
        <f>SUM(CE320,CE322)</f>
        <v>979.163</v>
      </c>
      <c r="CJ323" s="124">
        <f>SUM(CJ320,CJ322)</f>
        <v>1290.265</v>
      </c>
      <c r="CO323" s="124">
        <f>SUM(CO320,CO322)</f>
        <v>1861.117</v>
      </c>
      <c r="CT323" s="124">
        <f>SUM(CT320,CT322)</f>
        <v>1363.773</v>
      </c>
      <c r="CY323" s="124">
        <f>SUM(CY320,CY322)</f>
        <v>2318.84</v>
      </c>
      <c r="DD323" s="124">
        <f>SUM(DD320,DD322)</f>
        <v>3042.598</v>
      </c>
      <c r="DI323" s="124">
        <f>SUM(DI320,DI322)</f>
        <v>4356.93151294876</v>
      </c>
      <c r="DN323" s="124">
        <f>SUM(DN320,DN322)</f>
        <v>4973.35886535732</v>
      </c>
      <c r="DS323" s="124">
        <f>SUM(DS320,DS322)</f>
        <v>5726.88246903113</v>
      </c>
    </row>
    <row r="324" ht="15" customHeight="1" spans="1:123">
      <c r="A324" s="6"/>
      <c r="B324" s="198" t="s">
        <v>233</v>
      </c>
      <c r="C324" s="710"/>
      <c r="D324" s="712"/>
      <c r="E324" s="712"/>
      <c r="F324" s="712"/>
      <c r="G324" s="712"/>
      <c r="H324" s="710"/>
      <c r="I324" s="712"/>
      <c r="J324" s="712"/>
      <c r="K324" s="712"/>
      <c r="L324" s="712"/>
      <c r="M324" s="710">
        <f>M323/M80</f>
        <v>1.54644068488628</v>
      </c>
      <c r="N324" s="711"/>
      <c r="O324" s="711"/>
      <c r="P324" s="711"/>
      <c r="Q324" s="711"/>
      <c r="R324" s="710">
        <f>R323/R80</f>
        <v>1.27496109549768</v>
      </c>
      <c r="S324" s="711"/>
      <c r="T324" s="711"/>
      <c r="U324" s="711"/>
      <c r="V324" s="711"/>
      <c r="W324" s="710">
        <f>W323/W80</f>
        <v>1.87403850705947</v>
      </c>
      <c r="X324" s="711"/>
      <c r="Y324" s="711"/>
      <c r="Z324" s="711"/>
      <c r="AA324" s="711"/>
      <c r="AB324" s="710">
        <f>AB323/AB80</f>
        <v>1.16302869052965</v>
      </c>
      <c r="AC324" s="711"/>
      <c r="AD324" s="711"/>
      <c r="AE324" s="711"/>
      <c r="AF324" s="711"/>
      <c r="AG324" s="710">
        <f>AG323/AG80</f>
        <v>0.419574078953486</v>
      </c>
      <c r="AH324" s="711"/>
      <c r="AI324" s="711"/>
      <c r="AJ324" s="711"/>
      <c r="AK324" s="711"/>
      <c r="AL324" s="710">
        <f>AL323/AL80</f>
        <v>0.331740101057934</v>
      </c>
      <c r="AM324" s="711"/>
      <c r="AN324" s="711"/>
      <c r="AO324" s="711"/>
      <c r="AP324" s="711"/>
      <c r="AQ324" s="710">
        <f>AQ323/AQ80</f>
        <v>0.137974802089</v>
      </c>
      <c r="AR324" s="711"/>
      <c r="AS324" s="711"/>
      <c r="AT324" s="711"/>
      <c r="AU324" s="711"/>
      <c r="AV324" s="710">
        <f>AV323/AV80</f>
        <v>-0.0605295211476268</v>
      </c>
      <c r="AW324" s="711"/>
      <c r="AX324" s="711"/>
      <c r="AY324" s="711"/>
      <c r="AZ324" s="711"/>
      <c r="BA324" s="710">
        <f>BA323/BA80</f>
        <v>0.254016458780074</v>
      </c>
      <c r="BB324" s="711"/>
      <c r="BC324" s="711"/>
      <c r="BD324" s="711"/>
      <c r="BE324" s="711"/>
      <c r="BF324" s="710">
        <f>BF323/BF80</f>
        <v>0.871989981303136</v>
      </c>
      <c r="BG324" s="711"/>
      <c r="BH324" s="711"/>
      <c r="BI324" s="711"/>
      <c r="BJ324" s="711"/>
      <c r="BK324" s="710">
        <f>BK323/BK80</f>
        <v>0.677111888932402</v>
      </c>
      <c r="BL324" s="711"/>
      <c r="BM324" s="711"/>
      <c r="BN324" s="711"/>
      <c r="BO324" s="711"/>
      <c r="BP324" s="710">
        <f>BP323/BP80</f>
        <v>0.446735126014595</v>
      </c>
      <c r="BQ324" s="711"/>
      <c r="BR324" s="711"/>
      <c r="BS324" s="711"/>
      <c r="BT324" s="711"/>
      <c r="BU324" s="710">
        <f>BU323/BU80</f>
        <v>0.68465975524203</v>
      </c>
      <c r="BV324" s="711"/>
      <c r="BW324" s="711"/>
      <c r="BX324" s="711"/>
      <c r="BY324" s="711"/>
      <c r="BZ324" s="710">
        <f>BZ323/BZ80</f>
        <v>0.734061824924965</v>
      </c>
      <c r="CA324" s="711"/>
      <c r="CB324" s="711"/>
      <c r="CC324" s="711"/>
      <c r="CD324" s="711"/>
      <c r="CE324" s="710">
        <f>CE323/CE80</f>
        <v>0.753508927863723</v>
      </c>
      <c r="CF324" s="711"/>
      <c r="CG324" s="711"/>
      <c r="CH324" s="711"/>
      <c r="CI324" s="711"/>
      <c r="CJ324" s="710">
        <f>CJ323/CJ80</f>
        <v>0.672811283387269</v>
      </c>
      <c r="CK324" s="711"/>
      <c r="CL324" s="711"/>
      <c r="CM324" s="711"/>
      <c r="CN324" s="711"/>
      <c r="CO324" s="710">
        <f>CO323/CO80</f>
        <v>0.75721095360269</v>
      </c>
      <c r="CP324" s="711"/>
      <c r="CQ324" s="711"/>
      <c r="CR324" s="711"/>
      <c r="CS324" s="711"/>
      <c r="CT324" s="710">
        <f>CT323/CT80</f>
        <v>0.445497213872296</v>
      </c>
      <c r="CU324" s="711"/>
      <c r="CV324" s="711"/>
      <c r="CW324" s="711"/>
      <c r="CX324" s="711"/>
      <c r="CY324" s="710">
        <f>CY323/CY80</f>
        <v>0.664401604759495</v>
      </c>
      <c r="CZ324" s="711"/>
      <c r="DA324" s="711"/>
      <c r="DB324" s="711"/>
      <c r="DC324" s="711"/>
      <c r="DD324" s="710">
        <f>DD323/DD80</f>
        <v>0.918362677735561</v>
      </c>
      <c r="DE324" s="711"/>
      <c r="DF324" s="711"/>
      <c r="DG324" s="711"/>
      <c r="DH324" s="711"/>
      <c r="DI324" s="710">
        <f>DI323/DI80</f>
        <v>1.55866955247405</v>
      </c>
      <c r="DJ324" s="711"/>
      <c r="DK324" s="711"/>
      <c r="DL324" s="711"/>
      <c r="DM324" s="711"/>
      <c r="DN324" s="710">
        <f>DN323/DN80</f>
        <v>1.81743739663145</v>
      </c>
      <c r="DO324" s="711"/>
      <c r="DP324" s="711"/>
      <c r="DQ324" s="711"/>
      <c r="DR324" s="711"/>
      <c r="DS324" s="710">
        <f>DS323/DS80</f>
        <v>1.95356329134967</v>
      </c>
    </row>
    <row r="325" ht="15" customHeight="1" spans="1:123">
      <c r="A325" s="6"/>
      <c r="B325" s="198" t="s">
        <v>234</v>
      </c>
      <c r="C325" s="124"/>
      <c r="H325" s="124"/>
      <c r="M325" s="124"/>
      <c r="N325" s="713"/>
      <c r="O325" s="713"/>
      <c r="P325" s="713"/>
      <c r="Q325" s="713"/>
      <c r="R325" s="124"/>
      <c r="S325" s="713"/>
      <c r="T325" s="713"/>
      <c r="U325" s="713"/>
      <c r="V325" s="713"/>
      <c r="W325" s="124"/>
      <c r="X325" s="713"/>
      <c r="Y325" s="713"/>
      <c r="Z325" s="713"/>
      <c r="AA325" s="713"/>
      <c r="AB325" s="124"/>
      <c r="AC325" s="713"/>
      <c r="AD325" s="713"/>
      <c r="AE325" s="713"/>
      <c r="AF325" s="713"/>
      <c r="AG325" s="124"/>
      <c r="AH325" s="713"/>
      <c r="AI325" s="713"/>
      <c r="AJ325" s="713"/>
      <c r="AK325" s="713"/>
      <c r="AL325" s="124"/>
      <c r="AM325" s="713"/>
      <c r="AN325" s="713"/>
      <c r="AO325" s="713"/>
      <c r="AP325" s="713"/>
      <c r="AQ325" s="124"/>
      <c r="AR325" s="713"/>
      <c r="AS325" s="713"/>
      <c r="AT325" s="713"/>
      <c r="AU325" s="713"/>
      <c r="AV325" s="124"/>
      <c r="AW325" s="713"/>
      <c r="AX325" s="713"/>
      <c r="AY325" s="713"/>
      <c r="AZ325" s="713"/>
      <c r="BA325" s="124"/>
      <c r="BB325" s="713"/>
      <c r="BC325" s="713"/>
      <c r="BD325" s="713"/>
      <c r="BE325" s="713"/>
      <c r="BF325" s="124"/>
      <c r="BG325" s="713"/>
      <c r="BH325" s="713"/>
      <c r="BI325" s="713"/>
      <c r="BJ325" s="713"/>
      <c r="BK325" s="124"/>
      <c r="BL325" s="713"/>
      <c r="BM325" s="713"/>
      <c r="BN325" s="713"/>
      <c r="BO325" s="713"/>
      <c r="BP325" s="124"/>
      <c r="BQ325" s="713"/>
      <c r="BR325" s="713"/>
      <c r="BS325" s="713"/>
      <c r="BT325" s="713"/>
      <c r="BU325" s="124"/>
      <c r="BV325" s="713"/>
      <c r="BW325" s="713"/>
      <c r="BX325" s="713"/>
      <c r="BY325" s="713"/>
      <c r="BZ325" s="124">
        <f>BZ320+BZ204+BZ198</f>
        <v>-353.544</v>
      </c>
      <c r="CA325" s="713"/>
      <c r="CB325" s="713"/>
      <c r="CC325" s="713"/>
      <c r="CD325" s="713"/>
      <c r="CE325" s="124">
        <f>CE320+CE204+CE198</f>
        <v>-351.836</v>
      </c>
      <c r="CF325" s="713"/>
      <c r="CG325" s="713"/>
      <c r="CH325" s="713"/>
      <c r="CI325" s="713"/>
      <c r="CJ325" s="124">
        <f>CJ320+CJ204+CJ198</f>
        <v>-378.819</v>
      </c>
      <c r="CK325" s="713"/>
      <c r="CL325" s="713"/>
      <c r="CM325" s="713"/>
      <c r="CN325" s="713"/>
      <c r="CO325" s="124">
        <f>CO320+CO204+CO198</f>
        <v>-84.533</v>
      </c>
      <c r="CP325" s="713"/>
      <c r="CQ325" s="713"/>
      <c r="CR325" s="713"/>
      <c r="CS325" s="713"/>
      <c r="CT325" s="124">
        <f>CT320+CT204+CT198</f>
        <v>-840.689</v>
      </c>
      <c r="CU325" s="713"/>
      <c r="CV325" s="713"/>
      <c r="CW325" s="713"/>
      <c r="CX325" s="713"/>
      <c r="CY325" s="124">
        <f>CY320+CY204+CY198</f>
        <v>-408.545</v>
      </c>
      <c r="CZ325" s="713"/>
      <c r="DA325" s="713"/>
      <c r="DB325" s="713"/>
      <c r="DC325" s="713"/>
      <c r="DD325" s="124">
        <f>DD320+DD204+DD198</f>
        <v>-8.76099999999991</v>
      </c>
      <c r="DE325" s="713"/>
      <c r="DF325" s="713"/>
      <c r="DG325" s="713"/>
      <c r="DH325" s="713"/>
      <c r="DI325" s="124">
        <f>DI320+DI204+DI198</f>
        <v>920.788512948765</v>
      </c>
      <c r="DJ325" s="713"/>
      <c r="DK325" s="713"/>
      <c r="DL325" s="713"/>
      <c r="DM325" s="713"/>
      <c r="DN325" s="124">
        <f>DN320+DN204+DN198</f>
        <v>700.625365357324</v>
      </c>
      <c r="DO325" s="713"/>
      <c r="DP325" s="713"/>
      <c r="DQ325" s="713"/>
      <c r="DR325" s="713"/>
      <c r="DS325" s="124">
        <f>DS320+DS204+DS198</f>
        <v>492.069894031128</v>
      </c>
    </row>
    <row r="326" ht="15" customHeight="1" spans="1:123">
      <c r="A326" s="6"/>
      <c r="B326" s="198" t="s">
        <v>235</v>
      </c>
      <c r="C326" s="710"/>
      <c r="D326" s="712"/>
      <c r="E326" s="712"/>
      <c r="F326" s="712"/>
      <c r="G326" s="712"/>
      <c r="H326" s="710"/>
      <c r="I326" s="712"/>
      <c r="J326" s="712"/>
      <c r="K326" s="712"/>
      <c r="L326" s="712"/>
      <c r="M326" s="710"/>
      <c r="N326" s="711"/>
      <c r="O326" s="711"/>
      <c r="P326" s="711"/>
      <c r="Q326" s="711"/>
      <c r="R326" s="710"/>
      <c r="S326" s="711"/>
      <c r="T326" s="711"/>
      <c r="U326" s="711"/>
      <c r="V326" s="711"/>
      <c r="W326" s="710"/>
      <c r="X326" s="711"/>
      <c r="Y326" s="711"/>
      <c r="Z326" s="711"/>
      <c r="AA326" s="711"/>
      <c r="AB326" s="710"/>
      <c r="AC326" s="711"/>
      <c r="AD326" s="711"/>
      <c r="AE326" s="711"/>
      <c r="AF326" s="711"/>
      <c r="AG326" s="710"/>
      <c r="AH326" s="711"/>
      <c r="AI326" s="711"/>
      <c r="AJ326" s="711"/>
      <c r="AK326" s="711"/>
      <c r="AL326" s="710"/>
      <c r="AM326" s="711"/>
      <c r="AN326" s="711"/>
      <c r="AO326" s="711"/>
      <c r="AP326" s="711"/>
      <c r="AQ326" s="710"/>
      <c r="AR326" s="711"/>
      <c r="AS326" s="711"/>
      <c r="AT326" s="711"/>
      <c r="AU326" s="711"/>
      <c r="AV326" s="710"/>
      <c r="AW326" s="711"/>
      <c r="AX326" s="711"/>
      <c r="AY326" s="711"/>
      <c r="AZ326" s="711"/>
      <c r="BA326" s="710"/>
      <c r="BB326" s="711"/>
      <c r="BC326" s="711"/>
      <c r="BD326" s="711"/>
      <c r="BE326" s="711"/>
      <c r="BF326" s="710"/>
      <c r="BG326" s="711"/>
      <c r="BH326" s="711"/>
      <c r="BI326" s="711"/>
      <c r="BJ326" s="711"/>
      <c r="BK326" s="710"/>
      <c r="BL326" s="711"/>
      <c r="BM326" s="711"/>
      <c r="BN326" s="711"/>
      <c r="BO326" s="711"/>
      <c r="BP326" s="710"/>
      <c r="BQ326" s="711"/>
      <c r="BR326" s="711"/>
      <c r="BS326" s="711"/>
      <c r="BT326" s="711"/>
      <c r="BU326" s="710"/>
      <c r="BV326" s="711"/>
      <c r="BW326" s="711"/>
      <c r="BX326" s="711"/>
      <c r="BY326" s="711"/>
      <c r="BZ326" s="710">
        <f>BZ325/BZ80</f>
        <v>-0.270350417710146</v>
      </c>
      <c r="CA326" s="711"/>
      <c r="CB326" s="711"/>
      <c r="CC326" s="711"/>
      <c r="CD326" s="711"/>
      <c r="CE326" s="710">
        <f>CE325/CE80</f>
        <v>-0.27075325266974</v>
      </c>
      <c r="CF326" s="711"/>
      <c r="CG326" s="711"/>
      <c r="CH326" s="711"/>
      <c r="CI326" s="711"/>
      <c r="CJ326" s="710">
        <f>CJ325/CJ80</f>
        <v>-0.197535930651054</v>
      </c>
      <c r="CK326" s="711"/>
      <c r="CL326" s="711"/>
      <c r="CM326" s="711"/>
      <c r="CN326" s="711"/>
      <c r="CO326" s="710">
        <f>CO325/CO80</f>
        <v>-0.0343929551666532</v>
      </c>
      <c r="CP326" s="711"/>
      <c r="CQ326" s="711"/>
      <c r="CR326" s="711"/>
      <c r="CS326" s="711"/>
      <c r="CT326" s="710">
        <f>CT325/CT80</f>
        <v>-0.274623861326692</v>
      </c>
      <c r="CU326" s="711"/>
      <c r="CV326" s="711"/>
      <c r="CW326" s="711"/>
      <c r="CX326" s="711"/>
      <c r="CY326" s="710">
        <f>CY325/CY80</f>
        <v>-0.117057646761514</v>
      </c>
      <c r="CZ326" s="711"/>
      <c r="DA326" s="711"/>
      <c r="DB326" s="711"/>
      <c r="DC326" s="711"/>
      <c r="DD326" s="710">
        <f>DD325/DD80</f>
        <v>-0.00264437675290695</v>
      </c>
      <c r="DE326" s="711"/>
      <c r="DF326" s="711"/>
      <c r="DG326" s="711"/>
      <c r="DH326" s="711"/>
      <c r="DI326" s="710">
        <f>DI325/DI80</f>
        <v>0.329407293902987</v>
      </c>
      <c r="DJ326" s="711"/>
      <c r="DK326" s="711"/>
      <c r="DL326" s="711"/>
      <c r="DM326" s="711"/>
      <c r="DN326" s="710">
        <f>DN325/DN80</f>
        <v>0.256032748591426</v>
      </c>
      <c r="DO326" s="711"/>
      <c r="DP326" s="711"/>
      <c r="DQ326" s="711"/>
      <c r="DR326" s="711"/>
      <c r="DS326" s="710">
        <f>DS325/DS80</f>
        <v>0.167855667888391</v>
      </c>
    </row>
    <row r="327" ht="15" customHeight="1" spans="1:123">
      <c r="A327" s="6"/>
      <c r="B327" s="198"/>
      <c r="C327" s="710"/>
      <c r="D327" s="712"/>
      <c r="E327" s="712"/>
      <c r="F327" s="712"/>
      <c r="G327" s="712"/>
      <c r="H327" s="710"/>
      <c r="I327" s="712"/>
      <c r="J327" s="712"/>
      <c r="K327" s="712"/>
      <c r="L327" s="712"/>
      <c r="M327" s="710"/>
      <c r="N327" s="711"/>
      <c r="O327" s="711"/>
      <c r="P327" s="711"/>
      <c r="Q327" s="711"/>
      <c r="R327" s="710"/>
      <c r="S327" s="711"/>
      <c r="T327" s="711"/>
      <c r="U327" s="711"/>
      <c r="V327" s="711"/>
      <c r="W327" s="710"/>
      <c r="X327" s="711"/>
      <c r="Y327" s="711"/>
      <c r="Z327" s="711"/>
      <c r="AA327" s="711"/>
      <c r="AB327" s="710"/>
      <c r="AC327" s="711"/>
      <c r="AD327" s="711"/>
      <c r="AE327" s="711"/>
      <c r="AF327" s="711"/>
      <c r="AG327" s="710"/>
      <c r="AH327" s="711"/>
      <c r="AI327" s="711"/>
      <c r="AJ327" s="711"/>
      <c r="AK327" s="711"/>
      <c r="AL327" s="710"/>
      <c r="AM327" s="711"/>
      <c r="AN327" s="711"/>
      <c r="AO327" s="711"/>
      <c r="AP327" s="711"/>
      <c r="AQ327" s="710"/>
      <c r="AR327" s="711"/>
      <c r="AS327" s="711"/>
      <c r="AT327" s="711"/>
      <c r="AU327" s="711"/>
      <c r="AV327" s="710"/>
      <c r="AW327" s="711"/>
      <c r="AX327" s="711"/>
      <c r="AY327" s="711"/>
      <c r="AZ327" s="711"/>
      <c r="BA327" s="710"/>
      <c r="BB327" s="711"/>
      <c r="BC327" s="711"/>
      <c r="BD327" s="711"/>
      <c r="BE327" s="711"/>
      <c r="BF327" s="710"/>
      <c r="BG327" s="711"/>
      <c r="BH327" s="711"/>
      <c r="BI327" s="711"/>
      <c r="BJ327" s="711"/>
      <c r="BK327" s="710"/>
      <c r="BL327" s="711"/>
      <c r="BM327" s="711"/>
      <c r="BN327" s="711"/>
      <c r="BO327" s="711"/>
      <c r="BP327" s="710"/>
      <c r="BQ327" s="711"/>
      <c r="BR327" s="711"/>
      <c r="BS327" s="711"/>
      <c r="BT327" s="711"/>
      <c r="BU327" s="710"/>
      <c r="BV327" s="711"/>
      <c r="BW327" s="711"/>
      <c r="BX327" s="711"/>
      <c r="BY327" s="711"/>
      <c r="BZ327" s="710"/>
      <c r="CA327" s="711"/>
      <c r="CB327" s="711"/>
      <c r="CC327" s="711"/>
      <c r="CD327" s="711"/>
      <c r="CE327" s="710"/>
      <c r="CF327" s="711"/>
      <c r="CG327" s="711"/>
      <c r="CH327" s="711"/>
      <c r="CI327" s="711"/>
      <c r="CJ327" s="710"/>
      <c r="CK327" s="711"/>
      <c r="CL327" s="711"/>
      <c r="CM327" s="711"/>
      <c r="CN327" s="711"/>
      <c r="CO327" s="710"/>
      <c r="CP327" s="711"/>
      <c r="CQ327" s="711"/>
      <c r="CR327" s="711"/>
      <c r="CS327" s="711"/>
      <c r="CT327" s="710"/>
      <c r="CU327" s="711"/>
      <c r="CV327" s="711"/>
      <c r="CW327" s="711"/>
      <c r="CX327" s="711"/>
      <c r="CY327" s="710"/>
      <c r="CZ327" s="711"/>
      <c r="DA327" s="711"/>
      <c r="DB327" s="711"/>
      <c r="DC327" s="711"/>
      <c r="DD327" s="710"/>
      <c r="DE327" s="711"/>
      <c r="DF327" s="711"/>
      <c r="DG327" s="711"/>
      <c r="DH327" s="711"/>
      <c r="DI327" s="710"/>
      <c r="DJ327" s="711"/>
      <c r="DK327" s="711"/>
      <c r="DL327" s="711"/>
      <c r="DM327" s="711"/>
      <c r="DN327" s="710"/>
      <c r="DO327" s="711"/>
      <c r="DP327" s="711"/>
      <c r="DQ327" s="711"/>
      <c r="DR327" s="711"/>
      <c r="DS327" s="710"/>
    </row>
    <row r="328" ht="15" customHeight="1" spans="1:123">
      <c r="A328" s="6"/>
      <c r="B328" s="709" t="s">
        <v>236</v>
      </c>
      <c r="C328" s="710"/>
      <c r="D328" s="712"/>
      <c r="E328" s="712"/>
      <c r="F328" s="712"/>
      <c r="G328" s="712"/>
      <c r="H328" s="710"/>
      <c r="I328" s="712"/>
      <c r="J328" s="712"/>
      <c r="K328" s="712"/>
      <c r="L328" s="712"/>
      <c r="M328" s="710"/>
      <c r="N328" s="711"/>
      <c r="O328" s="711"/>
      <c r="P328" s="711"/>
      <c r="Q328" s="711"/>
      <c r="R328" s="710"/>
      <c r="S328" s="711"/>
      <c r="T328" s="711"/>
      <c r="U328" s="711"/>
      <c r="V328" s="711"/>
      <c r="W328" s="710"/>
      <c r="X328" s="711"/>
      <c r="Y328" s="711"/>
      <c r="Z328" s="711"/>
      <c r="AA328" s="711"/>
      <c r="AB328" s="710"/>
      <c r="AC328" s="711"/>
      <c r="AD328" s="711"/>
      <c r="AE328" s="711"/>
      <c r="AF328" s="711"/>
      <c r="AG328" s="710"/>
      <c r="AH328" s="711"/>
      <c r="AI328" s="711"/>
      <c r="AJ328" s="711"/>
      <c r="AK328" s="711"/>
      <c r="AL328" s="710"/>
      <c r="AM328" s="711"/>
      <c r="AN328" s="711"/>
      <c r="AO328" s="711"/>
      <c r="AP328" s="711"/>
      <c r="AQ328" s="710"/>
      <c r="AR328" s="711"/>
      <c r="AS328" s="711"/>
      <c r="AT328" s="711"/>
      <c r="AU328" s="711"/>
      <c r="AV328" s="710"/>
      <c r="AW328" s="711"/>
      <c r="AX328" s="711"/>
      <c r="AY328" s="711"/>
      <c r="AZ328" s="711"/>
      <c r="BA328" s="710"/>
      <c r="BB328" s="711"/>
      <c r="BC328" s="711"/>
      <c r="BD328" s="711"/>
      <c r="BE328" s="711"/>
      <c r="BF328" s="710"/>
      <c r="BG328" s="711"/>
      <c r="BH328" s="711"/>
      <c r="BI328" s="711"/>
      <c r="BJ328" s="711"/>
      <c r="BK328" s="710"/>
      <c r="BL328" s="711"/>
      <c r="BM328" s="711"/>
      <c r="BN328" s="711"/>
      <c r="BO328" s="711"/>
      <c r="BP328" s="710"/>
      <c r="BQ328" s="711"/>
      <c r="BR328" s="711"/>
      <c r="BS328" s="711"/>
      <c r="BT328" s="711"/>
      <c r="BU328" s="710"/>
      <c r="BV328" s="711"/>
      <c r="BW328" s="711"/>
      <c r="BX328" s="711"/>
      <c r="BY328" s="711"/>
      <c r="BZ328" s="710"/>
      <c r="CA328" s="711"/>
      <c r="CB328" s="711"/>
      <c r="CC328" s="711"/>
      <c r="CD328" s="711"/>
      <c r="CE328" s="710"/>
      <c r="CF328" s="711"/>
      <c r="CG328" s="711"/>
      <c r="CH328" s="711"/>
      <c r="CI328" s="711"/>
      <c r="CJ328" s="710"/>
      <c r="CK328" s="711"/>
      <c r="CL328" s="711"/>
      <c r="CM328" s="711"/>
      <c r="CN328" s="711"/>
      <c r="CO328" s="710"/>
      <c r="CP328" s="711"/>
      <c r="CQ328" s="711"/>
      <c r="CR328" s="711"/>
      <c r="CS328" s="711"/>
      <c r="CT328" s="710"/>
      <c r="CU328" s="711"/>
      <c r="CV328" s="711"/>
      <c r="CW328" s="711"/>
      <c r="CX328" s="711"/>
      <c r="CY328" s="710"/>
      <c r="CZ328" s="711"/>
      <c r="DA328" s="711"/>
      <c r="DB328" s="711"/>
      <c r="DC328" s="711"/>
      <c r="DD328" s="710"/>
      <c r="DE328" s="711"/>
      <c r="DF328" s="711"/>
      <c r="DG328" s="711"/>
      <c r="DH328" s="711"/>
      <c r="DI328" s="710"/>
      <c r="DJ328" s="711"/>
      <c r="DK328" s="711"/>
      <c r="DL328" s="711"/>
      <c r="DM328" s="711"/>
      <c r="DN328" s="710"/>
      <c r="DO328" s="711"/>
      <c r="DP328" s="711"/>
      <c r="DQ328" s="711"/>
      <c r="DR328" s="711"/>
      <c r="DS328" s="710"/>
    </row>
    <row r="329" spans="1:123">
      <c r="B329" s="198" t="s">
        <v>237</v>
      </c>
      <c r="C329" s="124"/>
      <c r="H329" s="124"/>
      <c r="M329" s="124"/>
      <c r="R329" s="124"/>
      <c r="W329" s="124"/>
      <c r="AB329" s="124"/>
      <c r="AG329" s="124"/>
      <c r="AL329" s="124"/>
      <c r="AQ329" s="124">
        <v>2.397</v>
      </c>
      <c r="AV329" s="124">
        <v>5.097</v>
      </c>
      <c r="BA329" s="124">
        <v>8.803</v>
      </c>
      <c r="BF329" s="124">
        <v>11.753</v>
      </c>
      <c r="BK329" s="124">
        <v>16.28</v>
      </c>
      <c r="BL329" s="172"/>
      <c r="BM329" s="172"/>
      <c r="BN329" s="172"/>
      <c r="BO329" s="172"/>
      <c r="BP329" s="124">
        <v>37.436</v>
      </c>
      <c r="BQ329" s="169"/>
      <c r="BR329" s="169"/>
      <c r="BS329" s="169"/>
      <c r="BT329" s="169"/>
      <c r="BU329" s="124"/>
      <c r="BV329" s="169"/>
      <c r="BW329" s="169"/>
      <c r="BX329" s="169"/>
      <c r="BY329" s="169"/>
      <c r="BZ329" s="124"/>
      <c r="CA329" s="169"/>
      <c r="CB329" s="169"/>
      <c r="CC329" s="169"/>
      <c r="CD329" s="169"/>
      <c r="CE329" s="124"/>
      <c r="CF329" s="169"/>
      <c r="CG329" s="169"/>
      <c r="CH329" s="169"/>
      <c r="CI329" s="169"/>
      <c r="CJ329" s="124"/>
      <c r="CK329" s="169"/>
      <c r="CL329" s="169"/>
      <c r="CM329" s="169"/>
      <c r="CN329" s="169"/>
      <c r="CO329" s="124"/>
      <c r="CP329" s="169"/>
      <c r="CQ329" s="169"/>
      <c r="CR329" s="169"/>
      <c r="CS329" s="169"/>
      <c r="CT329" s="124"/>
      <c r="CU329" s="169"/>
      <c r="CV329" s="169"/>
      <c r="CW329" s="169"/>
      <c r="CX329" s="169"/>
      <c r="CY329" s="124"/>
      <c r="CZ329" s="169"/>
      <c r="DA329" s="169"/>
      <c r="DB329" s="169"/>
      <c r="DC329" s="169"/>
      <c r="DD329" s="124"/>
      <c r="DE329" s="169"/>
      <c r="DF329" s="169"/>
      <c r="DG329" s="169"/>
      <c r="DH329" s="169"/>
      <c r="DI329" s="124"/>
      <c r="DJ329" s="169"/>
      <c r="DK329" s="169"/>
      <c r="DL329" s="169"/>
      <c r="DM329" s="169"/>
      <c r="DN329" s="124"/>
      <c r="DO329" s="169"/>
      <c r="DP329" s="169"/>
      <c r="DQ329" s="169"/>
      <c r="DR329" s="169"/>
      <c r="DS329" s="124"/>
    </row>
    <row r="330" spans="1:123">
      <c r="B330" s="714" t="s">
        <v>238</v>
      </c>
      <c r="C330" s="524"/>
      <c r="D330" s="513"/>
      <c r="E330" s="513"/>
      <c r="F330" s="513"/>
      <c r="G330" s="513"/>
      <c r="H330" s="524"/>
      <c r="I330" s="513"/>
      <c r="J330" s="513"/>
      <c r="K330" s="513"/>
      <c r="L330" s="513"/>
      <c r="M330" s="524"/>
      <c r="N330" s="513"/>
      <c r="O330" s="513"/>
      <c r="P330" s="513"/>
      <c r="Q330" s="513"/>
      <c r="R330" s="524"/>
      <c r="S330" s="513"/>
      <c r="T330" s="513"/>
      <c r="U330" s="513"/>
      <c r="V330" s="513"/>
      <c r="W330" s="524"/>
      <c r="X330" s="513"/>
      <c r="Y330" s="513"/>
      <c r="Z330" s="513"/>
      <c r="AA330" s="513"/>
      <c r="AB330" s="524"/>
      <c r="AC330" s="513"/>
      <c r="AD330" s="513"/>
      <c r="AE330" s="513"/>
      <c r="AF330" s="513"/>
      <c r="AG330" s="524"/>
      <c r="AH330" s="513"/>
      <c r="AI330" s="513"/>
      <c r="AJ330" s="513"/>
      <c r="AK330" s="513"/>
      <c r="AL330" s="524"/>
      <c r="AM330" s="513"/>
      <c r="AN330" s="513"/>
      <c r="AO330" s="513"/>
      <c r="AP330" s="513"/>
      <c r="AQ330" s="524">
        <f>AV330</f>
        <v>0.5</v>
      </c>
      <c r="AR330" s="715"/>
      <c r="AS330" s="715"/>
      <c r="AT330" s="715"/>
      <c r="AU330" s="715"/>
      <c r="AV330" s="524">
        <v>0.5</v>
      </c>
      <c r="AW330" s="715"/>
      <c r="AX330" s="715"/>
      <c r="AY330" s="715"/>
      <c r="AZ330" s="715"/>
      <c r="BA330" s="524">
        <f>471.322/BA173</f>
        <v>0.709310602742901</v>
      </c>
      <c r="BB330" s="716"/>
      <c r="BC330" s="716"/>
      <c r="BD330" s="716"/>
      <c r="BE330" s="716"/>
      <c r="BF330" s="524">
        <f>425.246/BF173</f>
        <v>0.847978591454927</v>
      </c>
      <c r="BG330" s="716"/>
      <c r="BH330" s="716"/>
      <c r="BI330" s="716"/>
      <c r="BJ330" s="716"/>
      <c r="BK330" s="524">
        <f>559.5/BK173</f>
        <v>0.761384017875854</v>
      </c>
      <c r="BL330" s="716"/>
      <c r="BM330" s="716"/>
      <c r="BN330" s="716"/>
      <c r="BO330" s="716"/>
      <c r="BP330" s="524">
        <f>796.9/BP173</f>
        <v>0.804542347761385</v>
      </c>
      <c r="BQ330" s="715"/>
      <c r="BR330" s="717"/>
      <c r="BS330" s="717"/>
      <c r="BT330" s="717"/>
      <c r="BU330" s="524">
        <f>191/BU173</f>
        <v>0.216720373984478</v>
      </c>
      <c r="BV330" s="717"/>
      <c r="BW330" s="717"/>
      <c r="BX330" s="717"/>
      <c r="BY330" s="717"/>
      <c r="BZ330" s="524">
        <f>387.4/BZ173</f>
        <v>0.35427364301032</v>
      </c>
      <c r="CA330" s="717"/>
      <c r="CB330" s="717"/>
      <c r="CC330" s="717"/>
      <c r="CD330" s="717"/>
      <c r="CE330" s="524">
        <f>508.7/CE173</f>
        <v>0.442149051252611</v>
      </c>
      <c r="CF330" s="717"/>
      <c r="CG330" s="717"/>
      <c r="CH330" s="717"/>
      <c r="CI330" s="717"/>
      <c r="CJ330" s="124"/>
      <c r="CK330" s="717"/>
      <c r="CL330" s="717"/>
      <c r="CM330" s="717"/>
      <c r="CN330" s="717"/>
      <c r="CO330" s="231"/>
      <c r="CP330" s="717"/>
      <c r="CQ330" s="717"/>
      <c r="CR330" s="717"/>
      <c r="CS330" s="717"/>
      <c r="CT330" s="124"/>
      <c r="CU330" s="717"/>
      <c r="CV330" s="717"/>
      <c r="CW330" s="717"/>
      <c r="CX330" s="717"/>
      <c r="CY330" s="124"/>
      <c r="CZ330" s="717"/>
      <c r="DA330" s="717"/>
      <c r="DB330" s="717"/>
      <c r="DC330" s="717"/>
      <c r="DD330" s="124"/>
      <c r="DE330" s="717"/>
      <c r="DF330" s="717"/>
      <c r="DG330" s="717"/>
      <c r="DH330" s="717"/>
      <c r="DI330" s="124"/>
      <c r="DJ330" s="717"/>
      <c r="DK330" s="717"/>
      <c r="DL330" s="717"/>
      <c r="DM330" s="717"/>
      <c r="DN330" s="124"/>
      <c r="DO330" s="717"/>
      <c r="DP330" s="717"/>
      <c r="DQ330" s="717"/>
      <c r="DR330" s="717"/>
      <c r="DS330" s="124"/>
    </row>
    <row r="331" spans="1:123">
      <c r="A331" s="6"/>
      <c r="B331" s="198"/>
      <c r="C331" s="74"/>
      <c r="D331" s="6"/>
      <c r="E331" s="6"/>
      <c r="F331" s="6"/>
      <c r="G331" s="6"/>
      <c r="H331" s="74"/>
      <c r="I331" s="6"/>
      <c r="J331" s="6"/>
      <c r="K331" s="6"/>
      <c r="L331" s="6"/>
      <c r="M331" s="74"/>
      <c r="N331" s="6"/>
      <c r="O331" s="6"/>
      <c r="P331" s="6"/>
      <c r="Q331" s="6"/>
      <c r="R331" s="74"/>
      <c r="S331" s="6"/>
      <c r="T331" s="6"/>
      <c r="U331" s="6"/>
      <c r="V331" s="6"/>
      <c r="W331" s="74"/>
      <c r="X331" s="6"/>
      <c r="Y331" s="6"/>
      <c r="Z331" s="6"/>
      <c r="AA331" s="6"/>
      <c r="AB331" s="74"/>
      <c r="AC331" s="6"/>
      <c r="AD331" s="6"/>
      <c r="AE331" s="6"/>
      <c r="AF331" s="6"/>
      <c r="AG331" s="74"/>
      <c r="AH331" s="6"/>
      <c r="AI331" s="6"/>
      <c r="AJ331" s="6"/>
      <c r="AK331" s="6"/>
      <c r="AL331" s="74"/>
      <c r="AM331" s="6"/>
      <c r="AN331" s="6"/>
      <c r="AO331" s="6"/>
      <c r="AP331" s="6"/>
      <c r="AQ331" s="74"/>
      <c r="AR331" s="6"/>
      <c r="AS331" s="6"/>
      <c r="AT331" s="6"/>
      <c r="AU331" s="6"/>
      <c r="AV331" s="74"/>
      <c r="AW331" s="6"/>
      <c r="AX331" s="6"/>
      <c r="AY331" s="6"/>
      <c r="AZ331" s="6"/>
      <c r="BA331" s="74"/>
      <c r="BB331" s="6"/>
      <c r="BC331" s="6"/>
      <c r="BD331" s="6"/>
      <c r="BE331" s="6"/>
      <c r="BF331" s="74"/>
      <c r="BG331" s="6"/>
      <c r="BH331" s="6"/>
      <c r="BI331" s="6"/>
      <c r="BJ331" s="6"/>
      <c r="BK331" s="74"/>
      <c r="BL331" s="6"/>
      <c r="BM331" s="6"/>
      <c r="BN331" s="6"/>
      <c r="BO331" s="6"/>
      <c r="BP331" s="74"/>
      <c r="BQ331" s="6"/>
      <c r="BR331" s="6"/>
      <c r="BS331" s="6"/>
      <c r="BT331" s="6"/>
      <c r="BU331" s="74"/>
      <c r="BV331" s="6"/>
      <c r="BW331" s="6"/>
      <c r="BX331" s="6"/>
      <c r="BY331" s="6"/>
      <c r="BZ331" s="74"/>
      <c r="CA331" s="6"/>
      <c r="CB331" s="6"/>
      <c r="CC331" s="6"/>
      <c r="CD331" s="6"/>
      <c r="CE331" s="74"/>
      <c r="CF331" s="6"/>
      <c r="CG331" s="6"/>
      <c r="CH331" s="6"/>
      <c r="CI331" s="6"/>
      <c r="CJ331" s="74"/>
      <c r="CK331" s="6"/>
      <c r="CL331" s="6"/>
      <c r="CM331" s="6"/>
      <c r="CN331" s="6"/>
      <c r="CO331" s="74"/>
      <c r="CP331" s="6"/>
      <c r="CQ331" s="6"/>
      <c r="CR331" s="6"/>
      <c r="CS331" s="6"/>
      <c r="CT331" s="74"/>
      <c r="CU331" s="6"/>
      <c r="CV331" s="6"/>
      <c r="CW331" s="6"/>
      <c r="CX331" s="6"/>
      <c r="CY331" s="74"/>
      <c r="CZ331" s="6"/>
      <c r="DA331" s="6"/>
      <c r="DB331" s="6"/>
      <c r="DC331" s="6"/>
      <c r="DD331" s="74"/>
      <c r="DE331" s="6"/>
      <c r="DF331" s="6"/>
      <c r="DG331" s="6"/>
      <c r="DH331" s="6"/>
      <c r="DI331" s="74"/>
      <c r="DJ331" s="6"/>
      <c r="DK331" s="6"/>
      <c r="DL331" s="6"/>
      <c r="DM331" s="6"/>
      <c r="DN331" s="74"/>
      <c r="DO331" s="6"/>
      <c r="DP331" s="6"/>
      <c r="DQ331" s="6"/>
      <c r="DR331" s="6"/>
      <c r="DS331" s="74"/>
    </row>
    <row r="332" spans="1:123">
      <c r="A332" s="6"/>
      <c r="B332" s="227" t="s">
        <v>239</v>
      </c>
      <c r="C332" s="124"/>
      <c r="H332" s="124"/>
      <c r="M332" s="124"/>
      <c r="R332" s="124"/>
      <c r="W332" s="124"/>
      <c r="AB332" s="124"/>
      <c r="AG332" s="124"/>
      <c r="AL332" s="124"/>
      <c r="AQ332" s="124"/>
      <c r="AV332" s="124"/>
      <c r="BA332" s="124"/>
      <c r="BF332" s="124"/>
      <c r="BK332" s="124"/>
      <c r="BP332" s="124"/>
      <c r="BU332" s="124"/>
      <c r="BZ332" s="124"/>
      <c r="CE332" s="124"/>
      <c r="CJ332" s="124"/>
      <c r="CO332" s="124"/>
      <c r="CT332" s="124"/>
      <c r="CY332" s="124"/>
      <c r="DD332" s="124"/>
      <c r="DI332" s="124"/>
      <c r="DN332" s="124"/>
      <c r="DS332" s="124"/>
    </row>
    <row r="333" spans="1:123">
      <c r="A333" s="6"/>
      <c r="B333" s="198" t="s">
        <v>240</v>
      </c>
      <c r="C333" s="124"/>
      <c r="H333" s="124"/>
      <c r="M333" s="124">
        <f>M64</f>
        <v>11.014791</v>
      </c>
      <c r="R333" s="124">
        <f>R64</f>
        <v>30.8424389999999</v>
      </c>
      <c r="W333" s="124">
        <f>W64</f>
        <v>42.121694</v>
      </c>
      <c r="AB333" s="124">
        <f>AB64</f>
        <v>58.415456</v>
      </c>
      <c r="AG333" s="124">
        <f>AG64</f>
        <v>122.197</v>
      </c>
      <c r="AL333" s="124">
        <f>AL64</f>
        <v>184.964</v>
      </c>
      <c r="AQ333" s="124">
        <f>AQ64</f>
        <v>271.431</v>
      </c>
      <c r="AV333" s="124">
        <f>AV64</f>
        <v>279.547</v>
      </c>
      <c r="BA333" s="124">
        <f>BA64</f>
        <v>272.733</v>
      </c>
      <c r="BF333" s="124">
        <f>BF64</f>
        <v>261.94</v>
      </c>
      <c r="BK333" s="124">
        <f>BK64</f>
        <v>294.501284</v>
      </c>
      <c r="BP333" s="124">
        <f>BP64</f>
        <v>352.437</v>
      </c>
      <c r="BU333" s="124">
        <f>BU64</f>
        <v>514.979</v>
      </c>
      <c r="BZ333" s="124">
        <f>BZ64</f>
        <v>645.596</v>
      </c>
      <c r="CE333" s="124">
        <f>CE64</f>
        <v>613.579</v>
      </c>
      <c r="CJ333" s="124">
        <f>CJ64</f>
        <v>1015.299</v>
      </c>
      <c r="CO333" s="124">
        <f>CO64</f>
        <v>1288.951</v>
      </c>
      <c r="CT333" s="124">
        <f>CT64</f>
        <v>1622.315</v>
      </c>
      <c r="CY333" s="124">
        <f>CY64</f>
        <v>1814.616</v>
      </c>
      <c r="DD333" s="124">
        <f>DD64</f>
        <v>1579.183</v>
      </c>
      <c r="DI333" s="124">
        <f>DI64</f>
        <v>1079.84781990519</v>
      </c>
      <c r="DN333" s="124">
        <f>DN64</f>
        <v>884.533245879241</v>
      </c>
      <c r="DS333" s="124">
        <f>DS64</f>
        <v>852.397683653093</v>
      </c>
    </row>
    <row r="334" spans="1:123">
      <c r="A334" s="6"/>
      <c r="B334" s="198" t="s">
        <v>241</v>
      </c>
      <c r="C334" s="124"/>
      <c r="H334" s="124"/>
      <c r="M334" s="124">
        <f>-M79*(1-M63)</f>
        <v>4.28519011161082</v>
      </c>
      <c r="R334" s="124">
        <f>-R79*(1-R63)</f>
        <v>11.4239413990717</v>
      </c>
      <c r="W334" s="124">
        <f>-W79*(1-W63)</f>
        <v>22.7124428649538</v>
      </c>
      <c r="AB334" s="124">
        <f>-AB79*(1-AB63)</f>
        <v>27.9884147513866</v>
      </c>
      <c r="AG334" s="124">
        <f>-AG79*(1-AG63)</f>
        <v>35.3842379949475</v>
      </c>
      <c r="AL334" s="124">
        <f>-AL79*(1-AL63)</f>
        <v>42.8878413724962</v>
      </c>
      <c r="AQ334" s="124">
        <f>-AQ79*(1-AQ63)</f>
        <v>58.6621633892332</v>
      </c>
      <c r="AV334" s="124">
        <f>-AV79*(1-AV63)</f>
        <v>58.6848362887346</v>
      </c>
      <c r="BA334" s="124">
        <f>-BA79*(1-BA63)</f>
        <v>71.2052129327783</v>
      </c>
      <c r="BF334" s="124">
        <f>-BF79*(1-BF63)</f>
        <v>87.6282330335043</v>
      </c>
      <c r="BK334" s="124">
        <f>-BK79*(1-BK63)</f>
        <v>102.277387411322</v>
      </c>
      <c r="BP334" s="124">
        <f>-BP79*(1-BP63)</f>
        <v>116.246586990681</v>
      </c>
      <c r="BU334" s="124">
        <f>-BU79*(1-BU63)</f>
        <v>142.559723173715</v>
      </c>
      <c r="BZ334" s="124">
        <f>-BZ79*(1-BZ63)</f>
        <v>184.660313231772</v>
      </c>
      <c r="CE334" s="124">
        <f>-CE79*(1-CE63)</f>
        <v>192.812895034746</v>
      </c>
      <c r="CJ334" s="124">
        <f>-CJ79*(1-CJ63)</f>
        <v>235.332308317027</v>
      </c>
      <c r="CO334" s="124">
        <f>-CO79*(1-CO63)</f>
        <v>270.981082814717</v>
      </c>
      <c r="CT334" s="124">
        <f>-CT79*(1-CT63)</f>
        <v>321.73695974177</v>
      </c>
      <c r="CY334" s="124">
        <f>-CY79*(1-CY63)</f>
        <v>378.900359947315</v>
      </c>
      <c r="DD334" s="124">
        <f>-DD79*(1-DD63)</f>
        <v>427.581207840491</v>
      </c>
      <c r="DI334" s="124">
        <f>-DI79*(1-DI63)</f>
        <v>487.74502099575</v>
      </c>
      <c r="DN334" s="124">
        <f>-DN79*(1-DN63)</f>
        <v>561.212793749999</v>
      </c>
      <c r="DS334" s="124">
        <f>-DS79*(1-DS63)</f>
        <v>645.3947128125</v>
      </c>
    </row>
    <row r="335" spans="1:123">
      <c r="A335" s="6"/>
      <c r="B335" s="198" t="s">
        <v>242</v>
      </c>
      <c r="C335" s="124"/>
      <c r="H335" s="124"/>
      <c r="M335" s="124">
        <f>-M313*(1+M63)</f>
        <v>-0.316437161294558</v>
      </c>
      <c r="R335" s="124">
        <f>-R313*(1+R63)</f>
        <v>-1.66236744128926</v>
      </c>
      <c r="W335" s="124">
        <f>-W313*(1+W63)</f>
        <v>0.155405776148501</v>
      </c>
      <c r="AB335" s="124">
        <f>-AB313*(1+AB63)</f>
        <v>-0.217764403102202</v>
      </c>
      <c r="AG335" s="124">
        <f>-AG313*(1+AG63)</f>
        <v>-3.84780579123403</v>
      </c>
      <c r="AL335" s="124">
        <f>-AL313*(1+AL63)</f>
        <v>-3.40249708075092</v>
      </c>
      <c r="AQ335" s="124">
        <f>-AQ313*(1+AQ63)</f>
        <v>-6.38621400591511</v>
      </c>
      <c r="AV335" s="124">
        <f>-AV313*(1+AV63)</f>
        <v>-7.47575943151544</v>
      </c>
      <c r="BA335" s="124">
        <f>-BA313*(1+BA63)</f>
        <v>-9.14847188066869</v>
      </c>
      <c r="BF335" s="124">
        <f>-BF313*(1+BF63)</f>
        <v>-3.92055530622062</v>
      </c>
      <c r="BK335" s="124">
        <f>-BK313*(1+BK63)</f>
        <v>-4.28016690266688</v>
      </c>
      <c r="BP335" s="124">
        <f>-BP313*(1+BP63)</f>
        <v>-5.21672798444859</v>
      </c>
      <c r="BU335" s="124">
        <f>-BU313*(1+BU63)</f>
        <v>-12.0499331618315</v>
      </c>
      <c r="BZ335" s="124">
        <f>-BZ313*(1+BZ63)</f>
        <v>-10.6071038775653</v>
      </c>
      <c r="CE335" s="124">
        <f>-CE313*(1+CE63)</f>
        <v>0.811352386303676</v>
      </c>
      <c r="CJ335" s="124">
        <f>-CJ313*(1+CJ63)</f>
        <v>-0.648535355055724</v>
      </c>
      <c r="CO335" s="124">
        <f>-CO313*(1+CO63)</f>
        <v>-5.3336916913149</v>
      </c>
      <c r="CT335" s="124">
        <f>-CT313*(1+CT63)</f>
        <v>-55.3981446011227</v>
      </c>
      <c r="CY335" s="124">
        <f>-CY313*(1+CY63)</f>
        <v>-91.183580475273</v>
      </c>
      <c r="DD335" s="124">
        <f>-DD313*(1+DD63)</f>
        <v>-36.7068332637328</v>
      </c>
      <c r="DI335" s="124">
        <f>-DI313*(1+DI63)</f>
        <v>-41.8362963379947</v>
      </c>
      <c r="DN335" s="124">
        <f>-DN313*(1+DN63)</f>
        <v>-27.7996726116813</v>
      </c>
      <c r="DS335" s="124">
        <f>-DS313*(1+DS63)</f>
        <v>-32.7381186216971</v>
      </c>
    </row>
    <row r="336" spans="1:123">
      <c r="A336" s="6"/>
      <c r="B336" s="198"/>
      <c r="C336" s="124"/>
      <c r="H336" s="124"/>
      <c r="M336" s="124"/>
      <c r="R336" s="124"/>
      <c r="W336" s="124"/>
      <c r="AB336" s="124"/>
      <c r="AG336" s="124"/>
      <c r="AL336" s="124"/>
      <c r="AQ336" s="124"/>
      <c r="AV336" s="124"/>
      <c r="BA336" s="124"/>
      <c r="BF336" s="124"/>
      <c r="BK336" s="124"/>
      <c r="BP336" s="124"/>
      <c r="BU336" s="124"/>
      <c r="BZ336" s="124"/>
      <c r="CE336" s="124"/>
      <c r="CJ336" s="124"/>
      <c r="CO336" s="124"/>
      <c r="CT336" s="124"/>
      <c r="CY336" s="124"/>
      <c r="DD336" s="124"/>
      <c r="DI336" s="124"/>
      <c r="DN336" s="124"/>
      <c r="DS336" s="124"/>
    </row>
    <row r="337" spans="1:123">
      <c r="A337" s="6"/>
      <c r="B337" s="198" t="s">
        <v>243</v>
      </c>
      <c r="C337" s="124"/>
      <c r="H337" s="124"/>
      <c r="M337" s="124">
        <f>M333+M334+M335</f>
        <v>14.9835439503163</v>
      </c>
      <c r="R337" s="124">
        <f>R333+R334+R335</f>
        <v>40.6040129577824</v>
      </c>
      <c r="W337" s="124">
        <f>W333+W334+W335</f>
        <v>64.9895426411023</v>
      </c>
      <c r="AB337" s="124">
        <f>AB333+AB334+AB335</f>
        <v>86.1861063482844</v>
      </c>
      <c r="AG337" s="124">
        <f>AG333+AG334+AG335</f>
        <v>153.733432203713</v>
      </c>
      <c r="AL337" s="124">
        <f>AL333+AL334+AL335</f>
        <v>224.449344291745</v>
      </c>
      <c r="AQ337" s="124">
        <f>AQ333+AQ334+AQ335</f>
        <v>323.706949383318</v>
      </c>
      <c r="AV337" s="124">
        <f>AV333+AV334+AV335</f>
        <v>330.756076857219</v>
      </c>
      <c r="BA337" s="124">
        <f>BA333+BA334+BA335</f>
        <v>334.78974105211</v>
      </c>
      <c r="BF337" s="124">
        <f>BF333+BF334+BF335</f>
        <v>345.647677727284</v>
      </c>
      <c r="BK337" s="124">
        <f>BK333+BK334+BK335</f>
        <v>392.498504508655</v>
      </c>
      <c r="BP337" s="124">
        <f>BP333+BP334+BP335</f>
        <v>463.466859006232</v>
      </c>
      <c r="BU337" s="124">
        <f>BU333+BU334+BU335</f>
        <v>645.488790011884</v>
      </c>
      <c r="BZ337" s="124">
        <f>BZ333+BZ334+BZ335</f>
        <v>819.649209354207</v>
      </c>
      <c r="CE337" s="124">
        <f>CE333+CE334+CE335</f>
        <v>807.20324742105</v>
      </c>
      <c r="CJ337" s="124">
        <f>CJ333+CJ334+CJ335</f>
        <v>1249.98277296197</v>
      </c>
      <c r="CO337" s="124">
        <f>CO333+CO334+CO335</f>
        <v>1554.5983911234</v>
      </c>
      <c r="CT337" s="124">
        <f>CT333+CT334+CT335</f>
        <v>1888.65381514065</v>
      </c>
      <c r="CY337" s="124">
        <f>CY333+CY334+CY335</f>
        <v>2102.33277947204</v>
      </c>
      <c r="DD337" s="124">
        <f>DD333+DD334+DD335</f>
        <v>1970.05737457676</v>
      </c>
      <c r="DI337" s="124">
        <f>DI333+DI334+DI335</f>
        <v>1525.75654456294</v>
      </c>
      <c r="DN337" s="124">
        <f>DN333+DN334+DN335</f>
        <v>1417.94636701756</v>
      </c>
      <c r="DS337" s="124">
        <f>DS333+DS334+DS335</f>
        <v>1465.0542778439</v>
      </c>
    </row>
    <row r="338" spans="1:123">
      <c r="A338" s="6"/>
      <c r="B338" s="198"/>
      <c r="C338" s="124"/>
      <c r="H338" s="124"/>
      <c r="M338" s="124"/>
      <c r="R338" s="124"/>
      <c r="W338" s="124"/>
      <c r="AB338" s="124"/>
      <c r="AG338" s="124"/>
      <c r="AL338" s="124"/>
      <c r="AQ338" s="124"/>
      <c r="AV338" s="124"/>
      <c r="BA338" s="124"/>
      <c r="BF338" s="124"/>
      <c r="BK338" s="124"/>
      <c r="BP338" s="124"/>
      <c r="BU338" s="124"/>
      <c r="BZ338" s="124"/>
      <c r="CE338" s="124"/>
      <c r="CJ338" s="124"/>
      <c r="CO338" s="124"/>
      <c r="CT338" s="124"/>
      <c r="CY338" s="124"/>
      <c r="DD338" s="124"/>
      <c r="DI338" s="124"/>
      <c r="DN338" s="124"/>
      <c r="DS338" s="124"/>
    </row>
    <row r="339" spans="1:123">
      <c r="A339" s="6"/>
      <c r="B339" s="198" t="s">
        <v>244</v>
      </c>
      <c r="C339" s="124"/>
      <c r="H339" s="124"/>
      <c r="M339" s="124">
        <f>(M178-M173)-(M201-M196)</f>
        <v>0.525618999999999</v>
      </c>
      <c r="R339" s="124">
        <f>(R178-R173)-(R201-R196)</f>
        <v>8.745541</v>
      </c>
      <c r="W339" s="124">
        <f>(W178-W173)-(W201-W196)</f>
        <v>14.856</v>
      </c>
      <c r="AB339" s="124">
        <f>(AB178-AB173)-(AB201-AB196)</f>
        <v>-1.841</v>
      </c>
      <c r="AG339" s="124">
        <f>(AG178-AG173)-(AG201-AG196)</f>
        <v>-12.371</v>
      </c>
      <c r="AL339" s="124">
        <f>(AL178-AL173)-(AL201-AL196)</f>
        <v>14.217</v>
      </c>
      <c r="AQ339" s="124">
        <f>(AQ178-AQ173)-(AQ201-AQ196)</f>
        <v>63.517</v>
      </c>
      <c r="AV339" s="124">
        <f>(AV178-AV173)-(AV201-AV196)</f>
        <v>130.676</v>
      </c>
      <c r="BA339" s="124">
        <f>(BA178-BA173)-(BA201-BA196)</f>
        <v>126.652</v>
      </c>
      <c r="BF339" s="124">
        <f>(BF178-BF173)-(BF201-BF196)</f>
        <v>190.053</v>
      </c>
      <c r="BK339" s="124">
        <f>(BK178-BK173)-(BK201-BK196)</f>
        <v>186.442</v>
      </c>
      <c r="BP339" s="124">
        <f>(BP178-BP173)-(BP201-BP196)</f>
        <v>153.183</v>
      </c>
      <c r="BU339" s="124">
        <f>(BU178-BU173)-(BU201-BU196)</f>
        <v>47.4849999999999</v>
      </c>
      <c r="BZ339" s="124">
        <f>(BZ178-BZ173)-(BZ201-BZ196)</f>
        <v>94.015</v>
      </c>
      <c r="CE339" s="124">
        <f>(CE178-CE173)-(CE201-CE196)</f>
        <v>90.6840000000002</v>
      </c>
      <c r="CJ339" s="124">
        <f>(CJ178-CJ173)-(CJ201-CJ196)</f>
        <v>-50.3519999999999</v>
      </c>
      <c r="CO339" s="124">
        <f>(CO178-CO173)-(CO201-CO196)</f>
        <v>512.388</v>
      </c>
      <c r="CT339" s="124">
        <f>(CT178-CT173)-(CT201-CT196)</f>
        <v>185.345000000001</v>
      </c>
      <c r="CY339" s="124">
        <f>(CY178-CY173)-(CY201-CY196)</f>
        <v>156.336</v>
      </c>
      <c r="DD339" s="124">
        <f>(DD178-DD173)-(DD201-DD196)</f>
        <v>567.951</v>
      </c>
      <c r="DI339" s="124">
        <f>(DI178-DI173)-(DI201-DI196)</f>
        <v>836.559072853952</v>
      </c>
      <c r="DN339" s="124">
        <f>(DN178-DN173)-(DN201-DN196)</f>
        <v>843.652887141754</v>
      </c>
      <c r="DS339" s="124">
        <f>(DS178-DS173)-(DS201-DS196)</f>
        <v>862.011676284649</v>
      </c>
    </row>
    <row r="340" spans="1:123">
      <c r="A340" s="6"/>
      <c r="B340" s="198" t="s">
        <v>245</v>
      </c>
      <c r="C340" s="124"/>
      <c r="H340" s="124"/>
      <c r="M340" s="124">
        <f>M339+M183+M188+M189+M191</f>
        <v>24.325985</v>
      </c>
      <c r="R340" s="124">
        <f>R339+R183+R188+R189+R191</f>
        <v>65.931265</v>
      </c>
      <c r="W340" s="124">
        <f>W339+W183+W188+W189+W191</f>
        <v>109.504</v>
      </c>
      <c r="AB340" s="124">
        <f>AB339+AB183+AB188+AB189+AB191</f>
        <v>89.007</v>
      </c>
      <c r="AG340" s="124">
        <f>AG339+AG183+AG188+AG189+AG191</f>
        <v>97.652</v>
      </c>
      <c r="AL340" s="124">
        <f>AL339+AL183+AL188+AL189+AL191</f>
        <v>221.758</v>
      </c>
      <c r="AQ340" s="124">
        <f>AQ339+AQ183+AQ188+AQ189+AQ191</f>
        <v>327.542</v>
      </c>
      <c r="AV340" s="124">
        <f>AV339+AV183+AV188+AV189+AV191</f>
        <v>437.525</v>
      </c>
      <c r="BA340" s="124">
        <f>BA339+BA183+BA188+BA189+BA191</f>
        <v>471.853</v>
      </c>
      <c r="BF340" s="124">
        <f>BF339+BF183+BF188+BF189+BF191</f>
        <v>587.091</v>
      </c>
      <c r="BK340" s="124">
        <f>BK339+BK183+BK188+BK189+BK191</f>
        <v>681.246</v>
      </c>
      <c r="BP340" s="124">
        <f>BP339+BP183+BP188+BP189+BP191</f>
        <v>715.384</v>
      </c>
      <c r="BU340" s="124">
        <f>BU339+BU183+BU188+BU189+BU191</f>
        <v>702.914</v>
      </c>
      <c r="BZ340" s="124">
        <f>BZ339+BZ183+BZ188+BZ189+BZ191</f>
        <v>877.767</v>
      </c>
      <c r="CE340" s="124">
        <f>CE339+CE183+CE188+CE189+CE191</f>
        <v>1416.685</v>
      </c>
      <c r="CJ340" s="124">
        <f>CJ339+CJ183+CJ188+CJ189+CJ191</f>
        <v>1473.73</v>
      </c>
      <c r="CO340" s="124">
        <f>CO339+CO183+CO188+CO189+CO191</f>
        <v>1990.554</v>
      </c>
      <c r="CT340" s="124">
        <f>CT339+CT183+CT188+CT189+CT191</f>
        <v>1951.099</v>
      </c>
      <c r="CY340" s="124">
        <f>CY339+CY183+CY188+CY189+CY191</f>
        <v>2363.07</v>
      </c>
      <c r="DD340" s="124">
        <f>DD339+DD183+DD188+DD189+DD191</f>
        <v>3131.812</v>
      </c>
      <c r="DI340" s="124">
        <f>DI339+DI183+DI188+DI189+DI191</f>
        <v>3533.08833285395</v>
      </c>
      <c r="DN340" s="124">
        <f>DN339+DN183+DN188+DN189+DN191</f>
        <v>3621.45843114175</v>
      </c>
      <c r="DS340" s="124">
        <f>DS339+DS183+DS188+DS189+DS191</f>
        <v>3689.30064346865</v>
      </c>
    </row>
    <row r="341" spans="1:123">
      <c r="A341" s="6"/>
      <c r="B341" s="198" t="s">
        <v>246</v>
      </c>
      <c r="C341" s="124"/>
      <c r="H341" s="124"/>
      <c r="M341" s="124">
        <f>M322</f>
        <v>73.6</v>
      </c>
      <c r="R341" s="124">
        <f>R322</f>
        <v>152.049712</v>
      </c>
      <c r="W341" s="124">
        <f>W322</f>
        <v>261.611032</v>
      </c>
      <c r="AB341" s="124">
        <f>AB322</f>
        <v>333.112</v>
      </c>
      <c r="AG341" s="124">
        <f>AG322</f>
        <v>424.568</v>
      </c>
      <c r="AL341" s="124">
        <f>AL322</f>
        <v>536.936</v>
      </c>
      <c r="AQ341" s="124">
        <f>AQ322</f>
        <v>659.424</v>
      </c>
      <c r="AV341" s="124">
        <f>AV322</f>
        <v>666.944</v>
      </c>
      <c r="BA341" s="124">
        <f>BA322</f>
        <v>800.232</v>
      </c>
      <c r="BF341" s="124">
        <f>BF322</f>
        <v>995.848</v>
      </c>
      <c r="BK341" s="124">
        <f>BK322</f>
        <v>1179.2</v>
      </c>
      <c r="BP341" s="124">
        <f>BP322</f>
        <v>1338.4</v>
      </c>
      <c r="BU341" s="124">
        <f>BU322</f>
        <v>1584</v>
      </c>
      <c r="BZ341" s="124">
        <f>BZ322</f>
        <v>2053.456</v>
      </c>
      <c r="CE341" s="124">
        <f>CE322</f>
        <v>2129.68</v>
      </c>
      <c r="CJ341" s="124">
        <f>CJ322</f>
        <v>2550.136</v>
      </c>
      <c r="CO341" s="124">
        <f>CO322</f>
        <v>3015.984</v>
      </c>
      <c r="CT341" s="124">
        <f>CT322</f>
        <v>3607.744</v>
      </c>
      <c r="CY341" s="124">
        <f>CY322</f>
        <v>4303.176</v>
      </c>
      <c r="DD341" s="124">
        <f>DD322</f>
        <v>4849.8</v>
      </c>
      <c r="DI341" s="124">
        <f>DI322</f>
        <v>5577.27</v>
      </c>
      <c r="DN341" s="124">
        <f>DN322</f>
        <v>6413.8605</v>
      </c>
      <c r="DS341" s="124">
        <f>DS322</f>
        <v>7375.939575</v>
      </c>
    </row>
    <row r="342" spans="1:123">
      <c r="A342" s="6"/>
      <c r="B342" s="198"/>
      <c r="C342" s="124"/>
      <c r="H342" s="124"/>
      <c r="M342" s="124"/>
      <c r="R342" s="124"/>
      <c r="W342" s="124"/>
      <c r="AB342" s="124"/>
      <c r="AG342" s="124"/>
      <c r="AL342" s="124"/>
      <c r="AQ342" s="124"/>
      <c r="AV342" s="124"/>
      <c r="BA342" s="124"/>
      <c r="BF342" s="124"/>
      <c r="BK342" s="124"/>
      <c r="BP342" s="124"/>
      <c r="BU342" s="124"/>
      <c r="BZ342" s="124"/>
      <c r="CE342" s="124"/>
      <c r="CJ342" s="124"/>
      <c r="CO342" s="124"/>
      <c r="CT342" s="124"/>
      <c r="CY342" s="124"/>
      <c r="DD342" s="124"/>
      <c r="DI342" s="124"/>
      <c r="DN342" s="124"/>
      <c r="DS342" s="124"/>
    </row>
    <row r="343" spans="1:123">
      <c r="A343" s="6"/>
      <c r="B343" s="198" t="s">
        <v>247</v>
      </c>
      <c r="C343" s="124"/>
      <c r="H343" s="124"/>
      <c r="M343" s="124">
        <f>M340+M341</f>
        <v>97.925985</v>
      </c>
      <c r="R343" s="124">
        <f>R340+R341</f>
        <v>217.980977</v>
      </c>
      <c r="W343" s="124">
        <f>W340+W341</f>
        <v>371.115032</v>
      </c>
      <c r="AB343" s="124">
        <f>AB340+AB341</f>
        <v>422.119</v>
      </c>
      <c r="AG343" s="124">
        <f>AG340+AG341</f>
        <v>522.22</v>
      </c>
      <c r="AL343" s="124">
        <f>AL340+AL341</f>
        <v>758.694</v>
      </c>
      <c r="AQ343" s="124">
        <f>AQ340+AQ341</f>
        <v>986.966</v>
      </c>
      <c r="AV343" s="124">
        <f>AV340+AV341</f>
        <v>1104.469</v>
      </c>
      <c r="BA343" s="124">
        <f>BA340+BA341</f>
        <v>1272.085</v>
      </c>
      <c r="BF343" s="124">
        <f>BF340+BF341</f>
        <v>1582.939</v>
      </c>
      <c r="BK343" s="124">
        <f>BK340+BK341</f>
        <v>1860.446</v>
      </c>
      <c r="BP343" s="124">
        <f>BP340+BP341</f>
        <v>2053.784</v>
      </c>
      <c r="BU343" s="124">
        <f>BU340+BU341</f>
        <v>2286.914</v>
      </c>
      <c r="BZ343" s="124">
        <f>BZ340+BZ341</f>
        <v>2931.223</v>
      </c>
      <c r="CE343" s="124">
        <f>CE340+CE341</f>
        <v>3546.365</v>
      </c>
      <c r="CJ343" s="124">
        <f>CJ340+CJ341</f>
        <v>4023.866</v>
      </c>
      <c r="CO343" s="124">
        <f>CO340+CO341</f>
        <v>5006.538</v>
      </c>
      <c r="CT343" s="124">
        <f>CT340+CT341</f>
        <v>5558.843</v>
      </c>
      <c r="CY343" s="124">
        <f>CY340+CY341</f>
        <v>6666.246</v>
      </c>
      <c r="DD343" s="124">
        <f>DD340+DD341</f>
        <v>7981.612</v>
      </c>
      <c r="DI343" s="124">
        <f>DI340+DI341</f>
        <v>9110.35833285395</v>
      </c>
      <c r="DN343" s="124">
        <f>DN340+DN341</f>
        <v>10035.3189311418</v>
      </c>
      <c r="DS343" s="124">
        <f>DS340+DS341</f>
        <v>11065.2402184686</v>
      </c>
    </row>
    <row r="344" spans="1:123">
      <c r="A344" s="6"/>
      <c r="B344" s="198" t="s">
        <v>248</v>
      </c>
      <c r="C344" s="124"/>
      <c r="H344" s="124"/>
      <c r="M344" s="124">
        <f>AVERAGE(H343,M343)</f>
        <v>97.925985</v>
      </c>
      <c r="R344" s="124">
        <f>AVERAGE(M343,R343)</f>
        <v>157.953481</v>
      </c>
      <c r="W344" s="124">
        <f>AVERAGE(R343,W343)</f>
        <v>294.5480045</v>
      </c>
      <c r="AB344" s="124">
        <f>AVERAGE(W343,AB343)</f>
        <v>396.617016</v>
      </c>
      <c r="AG344" s="124">
        <f>AVERAGE(AB343,AG343)</f>
        <v>472.1695</v>
      </c>
      <c r="AL344" s="124">
        <f>AVERAGE(AG343,AL343)</f>
        <v>640.457</v>
      </c>
      <c r="AQ344" s="124">
        <f>AVERAGE(AL343,AQ343)</f>
        <v>872.83</v>
      </c>
      <c r="AV344" s="124">
        <f>AVERAGE(AQ343,AV343)</f>
        <v>1045.7175</v>
      </c>
      <c r="BA344" s="124">
        <f>AVERAGE(AV343,BA343)</f>
        <v>1188.277</v>
      </c>
      <c r="BF344" s="124">
        <f>AVERAGE(BA343,BF343)</f>
        <v>1427.512</v>
      </c>
      <c r="BK344" s="124">
        <f>AVERAGE(BF343,BK343)</f>
        <v>1721.6925</v>
      </c>
      <c r="BP344" s="124">
        <f>AVERAGE(BK343,BP343)</f>
        <v>1957.115</v>
      </c>
      <c r="BU344" s="124">
        <f>AVERAGE(BP343,BU343)</f>
        <v>2170.349</v>
      </c>
      <c r="BZ344" s="124">
        <f>AVERAGE(BU343,BZ343)</f>
        <v>2609.0685</v>
      </c>
      <c r="CE344" s="124">
        <f>AVERAGE(BZ343,CE343)</f>
        <v>3238.794</v>
      </c>
      <c r="CJ344" s="124">
        <f>AVERAGE(CE343,CJ343)</f>
        <v>3785.1155</v>
      </c>
      <c r="CO344" s="124">
        <f>AVERAGE(CJ343,CO343)</f>
        <v>4515.202</v>
      </c>
      <c r="CT344" s="124">
        <f>AVERAGE(CO343,CT343)</f>
        <v>5282.6905</v>
      </c>
      <c r="CY344" s="124">
        <f>AVERAGE(CT343,CY343)</f>
        <v>6112.5445</v>
      </c>
      <c r="DD344" s="124">
        <f>AVERAGE(CY343,DD343)</f>
        <v>7323.929</v>
      </c>
      <c r="DI344" s="124">
        <f>AVERAGE(DD343,DI343)</f>
        <v>8545.98516642698</v>
      </c>
      <c r="DN344" s="124">
        <f>AVERAGE(DI343,DN343)</f>
        <v>9572.83863199785</v>
      </c>
      <c r="DS344" s="124">
        <f>AVERAGE(DN343,DS343)</f>
        <v>10550.2795748052</v>
      </c>
    </row>
    <row r="345" spans="1:123">
      <c r="B345" s="198"/>
      <c r="C345" s="124"/>
      <c r="H345" s="124"/>
      <c r="M345" s="124"/>
      <c r="R345" s="124"/>
      <c r="W345" s="124"/>
      <c r="AB345" s="124"/>
      <c r="AG345" s="124"/>
      <c r="AL345" s="124"/>
      <c r="AQ345" s="124"/>
      <c r="AV345" s="124"/>
      <c r="BA345" s="124"/>
      <c r="BF345" s="124"/>
      <c r="BK345" s="124"/>
      <c r="BP345" s="124"/>
      <c r="BU345" s="124"/>
      <c r="BZ345" s="124"/>
      <c r="CE345" s="124"/>
      <c r="CJ345" s="124"/>
      <c r="CO345" s="124"/>
      <c r="CT345" s="124"/>
      <c r="CY345" s="124"/>
      <c r="DD345" s="124"/>
      <c r="DI345" s="124"/>
      <c r="DN345" s="124"/>
      <c r="DS345" s="124"/>
    </row>
    <row r="346" s="490" customFormat="1" spans="1:123">
      <c r="B346" s="718" t="s">
        <v>249</v>
      </c>
      <c r="C346" s="719"/>
      <c r="D346" s="720"/>
      <c r="E346" s="720"/>
      <c r="F346" s="720"/>
      <c r="G346" s="720"/>
      <c r="H346" s="719"/>
      <c r="I346" s="720"/>
      <c r="J346" s="720"/>
      <c r="K346" s="720"/>
      <c r="L346" s="720"/>
      <c r="M346" s="719">
        <f>M337/M344</f>
        <v>0.153008866342435</v>
      </c>
      <c r="N346" s="720"/>
      <c r="O346" s="720"/>
      <c r="P346" s="720"/>
      <c r="Q346" s="720"/>
      <c r="R346" s="719">
        <f>R337/R344</f>
        <v>0.257063109345355</v>
      </c>
      <c r="S346" s="720"/>
      <c r="T346" s="720"/>
      <c r="U346" s="720"/>
      <c r="V346" s="720"/>
      <c r="W346" s="719">
        <f>W337/W344</f>
        <v>0.220641598816543</v>
      </c>
      <c r="X346" s="720"/>
      <c r="Y346" s="720"/>
      <c r="Z346" s="720"/>
      <c r="AA346" s="720"/>
      <c r="AB346" s="719">
        <f>AB337/AB344</f>
        <v>0.21730309813103</v>
      </c>
      <c r="AC346" s="720"/>
      <c r="AD346" s="720"/>
      <c r="AE346" s="720"/>
      <c r="AF346" s="720"/>
      <c r="AG346" s="719">
        <f>AG337/AG344</f>
        <v>0.325589501659284</v>
      </c>
      <c r="AH346" s="720"/>
      <c r="AI346" s="720"/>
      <c r="AJ346" s="720"/>
      <c r="AK346" s="720"/>
      <c r="AL346" s="719">
        <f>AL337/AL344</f>
        <v>0.350451855927479</v>
      </c>
      <c r="AM346" s="720"/>
      <c r="AN346" s="720"/>
      <c r="AO346" s="720"/>
      <c r="AP346" s="720"/>
      <c r="AQ346" s="719">
        <f>AQ337/AQ344</f>
        <v>0.370870558279755</v>
      </c>
      <c r="AR346" s="720"/>
      <c r="AS346" s="720"/>
      <c r="AT346" s="720"/>
      <c r="AU346" s="720"/>
      <c r="AV346" s="719">
        <f>AV337/AV344</f>
        <v>0.31629582258805</v>
      </c>
      <c r="AW346" s="720"/>
      <c r="AX346" s="720"/>
      <c r="AY346" s="720"/>
      <c r="AZ346" s="720"/>
      <c r="BA346" s="719">
        <f>BA337/BA344</f>
        <v>0.281743853539292</v>
      </c>
      <c r="BB346" s="720"/>
      <c r="BC346" s="720"/>
      <c r="BD346" s="720"/>
      <c r="BE346" s="720"/>
      <c r="BF346" s="719">
        <f>BF337/BF344</f>
        <v>0.242132940197549</v>
      </c>
      <c r="BG346" s="720"/>
      <c r="BH346" s="720"/>
      <c r="BI346" s="720"/>
      <c r="BJ346" s="720"/>
      <c r="BK346" s="719">
        <f>BK337/BK344</f>
        <v>0.227972477378309</v>
      </c>
      <c r="BL346" s="720"/>
      <c r="BM346" s="720"/>
      <c r="BN346" s="720"/>
      <c r="BO346" s="720"/>
      <c r="BP346" s="719">
        <f>BP337/BP344</f>
        <v>0.236811254834914</v>
      </c>
      <c r="BQ346" s="720"/>
      <c r="BR346" s="720"/>
      <c r="BS346" s="720"/>
      <c r="BT346" s="720"/>
      <c r="BU346" s="719">
        <f>BU337/BU344</f>
        <v>0.297412439203042</v>
      </c>
      <c r="BV346" s="720"/>
      <c r="BW346" s="720"/>
      <c r="BX346" s="720"/>
      <c r="BY346" s="720"/>
      <c r="BZ346" s="719">
        <f>BZ337/BZ344</f>
        <v>0.314153963130599</v>
      </c>
      <c r="CA346" s="720"/>
      <c r="CB346" s="720"/>
      <c r="CC346" s="720"/>
      <c r="CD346" s="720"/>
      <c r="CE346" s="719">
        <f>CE337/CE344</f>
        <v>0.249229573545292</v>
      </c>
      <c r="CF346" s="720"/>
      <c r="CG346" s="720"/>
      <c r="CH346" s="720"/>
      <c r="CI346" s="720"/>
      <c r="CJ346" s="719">
        <f>CJ337/CJ344</f>
        <v>0.330236362130025</v>
      </c>
      <c r="CK346" s="720"/>
      <c r="CL346" s="720"/>
      <c r="CM346" s="720"/>
      <c r="CN346" s="720"/>
      <c r="CO346" s="719">
        <f>CO337/CO344</f>
        <v>0.344303176496512</v>
      </c>
      <c r="CP346" s="720"/>
      <c r="CQ346" s="720"/>
      <c r="CR346" s="720"/>
      <c r="CS346" s="720"/>
      <c r="CT346" s="719">
        <f>CT337/CT344</f>
        <v>0.357517408059519</v>
      </c>
      <c r="CU346" s="720"/>
      <c r="CV346" s="720"/>
      <c r="CW346" s="720"/>
      <c r="CX346" s="720"/>
      <c r="CY346" s="719">
        <f>CY337/CY344</f>
        <v>0.343937419101332</v>
      </c>
      <c r="CZ346" s="720"/>
      <c r="DA346" s="720"/>
      <c r="DB346" s="720"/>
      <c r="DC346" s="720"/>
      <c r="DD346" s="719">
        <f>DD337/DD344</f>
        <v>0.268989141562781</v>
      </c>
      <c r="DE346" s="720"/>
      <c r="DF346" s="720"/>
      <c r="DG346" s="720"/>
      <c r="DH346" s="720"/>
      <c r="DI346" s="719">
        <f>DI337/DI344</f>
        <v>0.178534892683514</v>
      </c>
      <c r="DJ346" s="720"/>
      <c r="DK346" s="720"/>
      <c r="DL346" s="720"/>
      <c r="DM346" s="720"/>
      <c r="DN346" s="719">
        <f>DN337/DN344</f>
        <v>0.148121829012972</v>
      </c>
      <c r="DO346" s="720"/>
      <c r="DP346" s="720"/>
      <c r="DQ346" s="720"/>
      <c r="DR346" s="720"/>
      <c r="DS346" s="719">
        <f>DS337/DS344</f>
        <v>0.138864024166956</v>
      </c>
    </row>
    <row r="347" s="490" customFormat="1" spans="1:123">
      <c r="B347" s="718"/>
      <c r="C347" s="719"/>
      <c r="D347" s="720"/>
      <c r="E347" s="720"/>
      <c r="F347" s="720"/>
      <c r="G347" s="720"/>
      <c r="H347" s="719"/>
      <c r="I347" s="720"/>
      <c r="J347" s="720"/>
      <c r="K347" s="720"/>
      <c r="L347" s="720"/>
      <c r="M347" s="719"/>
      <c r="N347" s="720"/>
      <c r="O347" s="720"/>
      <c r="P347" s="720"/>
      <c r="Q347" s="720"/>
      <c r="R347" s="719"/>
      <c r="S347" s="720"/>
      <c r="T347" s="720"/>
      <c r="U347" s="720"/>
      <c r="V347" s="720"/>
      <c r="W347" s="719"/>
      <c r="X347" s="720"/>
      <c r="Y347" s="720"/>
      <c r="Z347" s="720"/>
      <c r="AA347" s="720"/>
      <c r="AB347" s="719"/>
      <c r="AC347" s="720"/>
      <c r="AD347" s="720"/>
      <c r="AE347" s="720"/>
      <c r="AF347" s="720"/>
      <c r="AG347" s="719"/>
      <c r="AH347" s="720"/>
      <c r="AI347" s="720"/>
      <c r="AJ347" s="720"/>
      <c r="AK347" s="720"/>
      <c r="AL347" s="719"/>
      <c r="AM347" s="720"/>
      <c r="AN347" s="720"/>
      <c r="AO347" s="720"/>
      <c r="AP347" s="720"/>
      <c r="AQ347" s="719"/>
      <c r="AR347" s="720"/>
      <c r="AS347" s="720"/>
      <c r="AT347" s="720"/>
      <c r="AU347" s="720"/>
      <c r="AV347" s="719"/>
      <c r="AW347" s="720"/>
      <c r="AX347" s="720"/>
      <c r="AY347" s="720"/>
      <c r="AZ347" s="720"/>
      <c r="BA347" s="719"/>
      <c r="BB347" s="720"/>
      <c r="BC347" s="720"/>
      <c r="BD347" s="720"/>
      <c r="BE347" s="720"/>
      <c r="BF347" s="719"/>
      <c r="BG347" s="720"/>
      <c r="BH347" s="720"/>
      <c r="BI347" s="720"/>
      <c r="BJ347" s="720"/>
      <c r="BK347" s="719"/>
      <c r="BL347" s="720"/>
      <c r="BM347" s="720"/>
      <c r="BN347" s="720"/>
      <c r="BO347" s="720"/>
      <c r="BP347" s="719"/>
      <c r="BQ347" s="720"/>
      <c r="BR347" s="720"/>
      <c r="BS347" s="720"/>
      <c r="BT347" s="720"/>
      <c r="BU347" s="719"/>
      <c r="BV347" s="720"/>
      <c r="BW347" s="720"/>
      <c r="BX347" s="720"/>
      <c r="BY347" s="720"/>
      <c r="BZ347" s="719"/>
      <c r="CA347" s="720"/>
      <c r="CB347" s="720"/>
      <c r="CC347" s="720"/>
      <c r="CD347" s="720"/>
      <c r="CE347" s="719"/>
      <c r="CF347" s="720"/>
      <c r="CG347" s="720"/>
      <c r="CH347" s="720"/>
      <c r="CI347" s="720"/>
      <c r="CJ347" s="719"/>
      <c r="CK347" s="720"/>
      <c r="CL347" s="720"/>
      <c r="CM347" s="720"/>
      <c r="CN347" s="720"/>
      <c r="CO347" s="719"/>
      <c r="CP347" s="720"/>
      <c r="CQ347" s="720"/>
      <c r="CR347" s="720"/>
      <c r="CS347" s="720"/>
      <c r="CT347" s="719"/>
      <c r="CU347" s="720"/>
      <c r="CV347" s="720"/>
      <c r="CW347" s="720"/>
      <c r="CX347" s="720"/>
      <c r="CY347" s="719"/>
      <c r="CZ347" s="720"/>
      <c r="DA347" s="720"/>
      <c r="DB347" s="720"/>
      <c r="DC347" s="720"/>
      <c r="DD347" s="719"/>
      <c r="DE347" s="720"/>
      <c r="DF347" s="720"/>
      <c r="DG347" s="720"/>
      <c r="DH347" s="720"/>
      <c r="DI347" s="719"/>
      <c r="DJ347" s="720"/>
      <c r="DK347" s="720"/>
      <c r="DL347" s="720"/>
      <c r="DM347" s="720"/>
      <c r="DN347" s="719"/>
      <c r="DO347" s="720"/>
      <c r="DP347" s="720"/>
      <c r="DQ347" s="720"/>
      <c r="DR347" s="720"/>
      <c r="DS347" s="719"/>
    </row>
    <row r="348" s="490" customFormat="1" spans="1:123">
      <c r="B348" s="714" t="s">
        <v>250</v>
      </c>
      <c r="C348" s="510"/>
      <c r="D348" s="511"/>
      <c r="E348" s="511"/>
      <c r="F348" s="511"/>
      <c r="G348" s="511"/>
      <c r="H348" s="510"/>
      <c r="I348" s="511"/>
      <c r="J348" s="511"/>
      <c r="K348" s="511"/>
      <c r="L348" s="511"/>
      <c r="M348" s="510"/>
      <c r="N348" s="511"/>
      <c r="O348" s="511"/>
      <c r="P348" s="511"/>
      <c r="Q348" s="511"/>
      <c r="R348" s="510"/>
      <c r="S348" s="511"/>
      <c r="T348" s="511"/>
      <c r="U348" s="511"/>
      <c r="V348" s="511"/>
      <c r="W348" s="510"/>
      <c r="X348" s="511"/>
      <c r="Y348" s="511"/>
      <c r="Z348" s="511"/>
      <c r="AA348" s="511"/>
      <c r="AB348" s="510"/>
      <c r="AC348" s="511"/>
      <c r="AD348" s="511"/>
      <c r="AE348" s="511"/>
      <c r="AF348" s="511"/>
      <c r="AG348" s="510"/>
      <c r="AH348" s="511"/>
      <c r="AI348" s="511"/>
      <c r="AJ348" s="511"/>
      <c r="AK348" s="511"/>
      <c r="AL348" s="510"/>
      <c r="AM348" s="511"/>
      <c r="AN348" s="511"/>
      <c r="AO348" s="511"/>
      <c r="AP348" s="511"/>
      <c r="AQ348" s="510"/>
      <c r="AR348" s="511"/>
      <c r="AS348" s="511"/>
      <c r="AT348" s="511"/>
      <c r="AU348" s="511"/>
      <c r="AV348" s="510"/>
      <c r="AW348" s="511"/>
      <c r="AX348" s="511"/>
      <c r="AY348" s="511"/>
      <c r="AZ348" s="511"/>
      <c r="BA348" s="510"/>
      <c r="BB348" s="511"/>
      <c r="BC348" s="511"/>
      <c r="BD348" s="511"/>
      <c r="BE348" s="511"/>
      <c r="BF348" s="510"/>
      <c r="BG348" s="511"/>
      <c r="BH348" s="511"/>
      <c r="BI348" s="511"/>
      <c r="BJ348" s="511"/>
      <c r="BK348" s="510"/>
      <c r="BL348" s="511"/>
      <c r="BM348" s="511"/>
      <c r="BN348" s="511"/>
      <c r="BO348" s="511"/>
      <c r="BP348" s="510"/>
      <c r="BQ348" s="511"/>
      <c r="BR348" s="511"/>
      <c r="BS348" s="511"/>
      <c r="BT348" s="511"/>
      <c r="BU348" s="170">
        <f>BU340+BV190</f>
        <v>1329.888</v>
      </c>
      <c r="BV348" s="511"/>
      <c r="BW348" s="511"/>
      <c r="BX348" s="511"/>
      <c r="BY348" s="511"/>
      <c r="BZ348" s="124">
        <f>BZ340+BZ190</f>
        <v>1567.431</v>
      </c>
      <c r="CA348" s="511"/>
      <c r="CB348" s="511"/>
      <c r="CC348" s="511"/>
      <c r="CD348" s="511"/>
      <c r="CE348" s="124">
        <f>CE340+CE190</f>
        <v>2151.52</v>
      </c>
      <c r="CF348" s="511"/>
      <c r="CG348" s="511"/>
      <c r="CH348" s="511"/>
      <c r="CI348" s="511"/>
      <c r="CJ348" s="124">
        <f>CJ340+CJ190</f>
        <v>2277.273</v>
      </c>
      <c r="CK348" s="511"/>
      <c r="CL348" s="511"/>
      <c r="CM348" s="511"/>
      <c r="CN348" s="511"/>
      <c r="CO348" s="124">
        <f>CO340+CO190</f>
        <v>2959.973</v>
      </c>
      <c r="CP348" s="511"/>
      <c r="CQ348" s="511"/>
      <c r="CR348" s="511"/>
      <c r="CS348" s="511"/>
      <c r="CT348" s="124">
        <f>CT340+CT190</f>
        <v>3216.709</v>
      </c>
      <c r="CU348" s="511"/>
      <c r="CV348" s="511"/>
      <c r="CW348" s="511"/>
      <c r="CX348" s="511"/>
      <c r="CY348" s="124">
        <f>CY340+CY190</f>
        <v>3779.326</v>
      </c>
      <c r="CZ348" s="511"/>
      <c r="DA348" s="511"/>
      <c r="DB348" s="511"/>
      <c r="DC348" s="511"/>
      <c r="DD348" s="124">
        <f>DD340+DD190</f>
        <v>4761.993</v>
      </c>
      <c r="DE348" s="511"/>
      <c r="DF348" s="511"/>
      <c r="DG348" s="511"/>
      <c r="DH348" s="511"/>
      <c r="DI348" s="124">
        <f>DI340+DI190</f>
        <v>5480.16533285395</v>
      </c>
      <c r="DJ348" s="511"/>
      <c r="DK348" s="511"/>
      <c r="DL348" s="511"/>
      <c r="DM348" s="511"/>
      <c r="DN348" s="124">
        <f>DN340+DN190</f>
        <v>5568.53543114175</v>
      </c>
      <c r="DO348" s="511"/>
      <c r="DP348" s="511"/>
      <c r="DQ348" s="511"/>
      <c r="DR348" s="511"/>
      <c r="DS348" s="124">
        <f>DS340+DS190</f>
        <v>5636.37764346865</v>
      </c>
    </row>
    <row r="349" s="490" customFormat="1" spans="1:123">
      <c r="B349" s="714" t="s">
        <v>251</v>
      </c>
      <c r="C349" s="510"/>
      <c r="D349" s="511"/>
      <c r="E349" s="511"/>
      <c r="F349" s="511"/>
      <c r="G349" s="511"/>
      <c r="H349" s="510"/>
      <c r="I349" s="511"/>
      <c r="J349" s="511"/>
      <c r="K349" s="511"/>
      <c r="L349" s="511"/>
      <c r="M349" s="510"/>
      <c r="N349" s="511"/>
      <c r="O349" s="511"/>
      <c r="P349" s="511"/>
      <c r="Q349" s="511"/>
      <c r="R349" s="510"/>
      <c r="S349" s="511"/>
      <c r="T349" s="511"/>
      <c r="U349" s="511"/>
      <c r="V349" s="511"/>
      <c r="W349" s="510"/>
      <c r="X349" s="511"/>
      <c r="Y349" s="511"/>
      <c r="Z349" s="511"/>
      <c r="AA349" s="511"/>
      <c r="AB349" s="510"/>
      <c r="AC349" s="511"/>
      <c r="AD349" s="511"/>
      <c r="AE349" s="511"/>
      <c r="AF349" s="511"/>
      <c r="AG349" s="510"/>
      <c r="AH349" s="511"/>
      <c r="AI349" s="511"/>
      <c r="AJ349" s="511"/>
      <c r="AK349" s="511"/>
      <c r="AL349" s="510"/>
      <c r="AM349" s="511"/>
      <c r="AN349" s="511"/>
      <c r="AO349" s="511"/>
      <c r="AP349" s="511"/>
      <c r="AQ349" s="510"/>
      <c r="AR349" s="511"/>
      <c r="AS349" s="511"/>
      <c r="AT349" s="511"/>
      <c r="AU349" s="511"/>
      <c r="AV349" s="510"/>
      <c r="AW349" s="511"/>
      <c r="AX349" s="511"/>
      <c r="AY349" s="511"/>
      <c r="AZ349" s="511"/>
      <c r="BA349" s="510"/>
      <c r="BB349" s="511"/>
      <c r="BC349" s="511"/>
      <c r="BD349" s="511"/>
      <c r="BE349" s="511"/>
      <c r="BF349" s="510"/>
      <c r="BG349" s="511"/>
      <c r="BH349" s="511"/>
      <c r="BI349" s="511"/>
      <c r="BJ349" s="511"/>
      <c r="BK349" s="510"/>
      <c r="BL349" s="511"/>
      <c r="BM349" s="511"/>
      <c r="BN349" s="511"/>
      <c r="BO349" s="511"/>
      <c r="BP349" s="510"/>
      <c r="BQ349" s="511"/>
      <c r="BR349" s="511"/>
      <c r="BS349" s="511"/>
      <c r="BT349" s="511"/>
      <c r="BU349" s="510"/>
      <c r="BV349" s="511"/>
      <c r="BW349" s="511"/>
      <c r="BX349" s="511"/>
      <c r="BY349" s="511"/>
      <c r="BZ349" s="170">
        <f>AVERAGE(BU348,BZ348)</f>
        <v>1448.6595</v>
      </c>
      <c r="CA349" s="511"/>
      <c r="CB349" s="511"/>
      <c r="CC349" s="511"/>
      <c r="CD349" s="511"/>
      <c r="CE349" s="124">
        <f>AVERAGE(BZ348,CE348)</f>
        <v>1859.4755</v>
      </c>
      <c r="CF349" s="511"/>
      <c r="CG349" s="511"/>
      <c r="CH349" s="511"/>
      <c r="CI349" s="511"/>
      <c r="CJ349" s="124">
        <f>AVERAGE(CE348,CJ348)</f>
        <v>2214.3965</v>
      </c>
      <c r="CK349" s="511"/>
      <c r="CL349" s="511"/>
      <c r="CM349" s="511"/>
      <c r="CN349" s="511"/>
      <c r="CO349" s="124">
        <f>AVERAGE(CJ348,CO348)</f>
        <v>2618.623</v>
      </c>
      <c r="CP349" s="511"/>
      <c r="CQ349" s="511"/>
      <c r="CR349" s="511"/>
      <c r="CS349" s="511"/>
      <c r="CT349" s="124">
        <f>AVERAGE(CO348,CT348)</f>
        <v>3088.341</v>
      </c>
      <c r="CU349" s="511"/>
      <c r="CV349" s="511"/>
      <c r="CW349" s="511"/>
      <c r="CX349" s="511"/>
      <c r="CY349" s="124">
        <f>AVERAGE(CT348,CY348)</f>
        <v>3498.0175</v>
      </c>
      <c r="CZ349" s="511"/>
      <c r="DA349" s="511"/>
      <c r="DB349" s="511"/>
      <c r="DC349" s="511"/>
      <c r="DD349" s="124">
        <f>AVERAGE(CY348,DD348)</f>
        <v>4270.6595</v>
      </c>
      <c r="DE349" s="511"/>
      <c r="DF349" s="511"/>
      <c r="DG349" s="511"/>
      <c r="DH349" s="511"/>
      <c r="DI349" s="124">
        <f>AVERAGE(DD348,DI348)</f>
        <v>5121.07916642698</v>
      </c>
      <c r="DJ349" s="511"/>
      <c r="DK349" s="511"/>
      <c r="DL349" s="511"/>
      <c r="DM349" s="511"/>
      <c r="DN349" s="124">
        <f>AVERAGE(DI348,DN348)</f>
        <v>5524.35038199785</v>
      </c>
      <c r="DO349" s="511"/>
      <c r="DP349" s="511"/>
      <c r="DQ349" s="511"/>
      <c r="DR349" s="511"/>
      <c r="DS349" s="124">
        <f>AVERAGE(DN348,DS348)</f>
        <v>5602.4565373052</v>
      </c>
    </row>
    <row r="350" s="490" customFormat="1" spans="1:123">
      <c r="B350" s="718"/>
      <c r="C350" s="719"/>
      <c r="D350" s="720"/>
      <c r="E350" s="720"/>
      <c r="F350" s="720"/>
      <c r="G350" s="720"/>
      <c r="H350" s="719"/>
      <c r="I350" s="720"/>
      <c r="J350" s="720"/>
      <c r="K350" s="720"/>
      <c r="L350" s="720"/>
      <c r="M350" s="719"/>
      <c r="N350" s="720"/>
      <c r="O350" s="720"/>
      <c r="P350" s="720"/>
      <c r="Q350" s="720"/>
      <c r="R350" s="719"/>
      <c r="S350" s="720"/>
      <c r="T350" s="720"/>
      <c r="U350" s="720"/>
      <c r="V350" s="720"/>
      <c r="W350" s="719"/>
      <c r="X350" s="720"/>
      <c r="Y350" s="720"/>
      <c r="Z350" s="720"/>
      <c r="AA350" s="720"/>
      <c r="AB350" s="719"/>
      <c r="AC350" s="720"/>
      <c r="AD350" s="720"/>
      <c r="AE350" s="720"/>
      <c r="AF350" s="720"/>
      <c r="AG350" s="719"/>
      <c r="AH350" s="720"/>
      <c r="AI350" s="720"/>
      <c r="AJ350" s="720"/>
      <c r="AK350" s="720"/>
      <c r="AL350" s="719"/>
      <c r="AM350" s="720"/>
      <c r="AN350" s="720"/>
      <c r="AO350" s="720"/>
      <c r="AP350" s="720"/>
      <c r="AQ350" s="719"/>
      <c r="AR350" s="720"/>
      <c r="AS350" s="720"/>
      <c r="AT350" s="720"/>
      <c r="AU350" s="720"/>
      <c r="AV350" s="719"/>
      <c r="AW350" s="720"/>
      <c r="AX350" s="720"/>
      <c r="AY350" s="720"/>
      <c r="AZ350" s="720"/>
      <c r="BA350" s="719"/>
      <c r="BB350" s="720"/>
      <c r="BC350" s="720"/>
      <c r="BD350" s="720"/>
      <c r="BE350" s="720"/>
      <c r="BF350" s="719"/>
      <c r="BG350" s="720"/>
      <c r="BH350" s="720"/>
      <c r="BI350" s="720"/>
      <c r="BJ350" s="720"/>
      <c r="BK350" s="719"/>
      <c r="BL350" s="720"/>
      <c r="BM350" s="720"/>
      <c r="BN350" s="720"/>
      <c r="BO350" s="720"/>
      <c r="BP350" s="719"/>
      <c r="BQ350" s="720"/>
      <c r="BR350" s="720"/>
      <c r="BS350" s="720"/>
      <c r="BT350" s="720"/>
      <c r="BU350" s="719"/>
      <c r="BV350" s="720"/>
      <c r="BW350" s="720"/>
      <c r="BX350" s="720"/>
      <c r="BY350" s="720"/>
      <c r="BZ350" s="719"/>
      <c r="CA350" s="720"/>
      <c r="CB350" s="720"/>
      <c r="CC350" s="720"/>
      <c r="CD350" s="720"/>
      <c r="CE350" s="719"/>
      <c r="CF350" s="720"/>
      <c r="CG350" s="720"/>
      <c r="CH350" s="720"/>
      <c r="CI350" s="720"/>
      <c r="CJ350" s="719"/>
      <c r="CK350" s="720"/>
      <c r="CL350" s="720"/>
      <c r="CM350" s="720"/>
      <c r="CN350" s="720"/>
      <c r="CO350" s="719"/>
      <c r="CP350" s="720"/>
      <c r="CQ350" s="720"/>
      <c r="CR350" s="720"/>
      <c r="CS350" s="720"/>
      <c r="CT350" s="719"/>
      <c r="CU350" s="720"/>
      <c r="CV350" s="720"/>
      <c r="CW350" s="720"/>
      <c r="CX350" s="720"/>
      <c r="CY350" s="719"/>
      <c r="CZ350" s="720"/>
      <c r="DA350" s="720"/>
      <c r="DB350" s="720"/>
      <c r="DC350" s="720"/>
      <c r="DD350" s="719"/>
      <c r="DE350" s="720"/>
      <c r="DF350" s="720"/>
      <c r="DG350" s="720"/>
      <c r="DH350" s="720"/>
      <c r="DI350" s="719"/>
      <c r="DJ350" s="720"/>
      <c r="DK350" s="720"/>
      <c r="DL350" s="720"/>
      <c r="DM350" s="720"/>
      <c r="DN350" s="719"/>
      <c r="DO350" s="720"/>
      <c r="DP350" s="720"/>
      <c r="DQ350" s="720"/>
      <c r="DR350" s="720"/>
      <c r="DS350" s="719"/>
    </row>
    <row r="351" s="490" customFormat="1" spans="1:123">
      <c r="B351" s="718" t="s">
        <v>252</v>
      </c>
      <c r="C351" s="719"/>
      <c r="D351" s="720"/>
      <c r="E351" s="720"/>
      <c r="F351" s="720"/>
      <c r="G351" s="720"/>
      <c r="H351" s="719"/>
      <c r="I351" s="720"/>
      <c r="J351" s="720"/>
      <c r="K351" s="720"/>
      <c r="L351" s="720"/>
      <c r="M351" s="719"/>
      <c r="N351" s="720"/>
      <c r="O351" s="720"/>
      <c r="P351" s="720"/>
      <c r="Q351" s="720"/>
      <c r="R351" s="719"/>
      <c r="S351" s="720"/>
      <c r="T351" s="720"/>
      <c r="U351" s="720"/>
      <c r="V351" s="720"/>
      <c r="W351" s="719"/>
      <c r="X351" s="720"/>
      <c r="Y351" s="720"/>
      <c r="Z351" s="720"/>
      <c r="AA351" s="720"/>
      <c r="AB351" s="719"/>
      <c r="AC351" s="720"/>
      <c r="AD351" s="720"/>
      <c r="AE351" s="720"/>
      <c r="AF351" s="720"/>
      <c r="AG351" s="719"/>
      <c r="AH351" s="720"/>
      <c r="AI351" s="720"/>
      <c r="AJ351" s="720"/>
      <c r="AK351" s="720"/>
      <c r="AL351" s="719"/>
      <c r="AM351" s="720"/>
      <c r="AN351" s="720"/>
      <c r="AO351" s="720"/>
      <c r="AP351" s="720"/>
      <c r="AQ351" s="719"/>
      <c r="AR351" s="720"/>
      <c r="AS351" s="720"/>
      <c r="AT351" s="720"/>
      <c r="AU351" s="720"/>
      <c r="AV351" s="719"/>
      <c r="AW351" s="720"/>
      <c r="AX351" s="720"/>
      <c r="AY351" s="720"/>
      <c r="AZ351" s="720"/>
      <c r="BA351" s="719"/>
      <c r="BB351" s="720"/>
      <c r="BC351" s="720"/>
      <c r="BD351" s="720"/>
      <c r="BE351" s="720"/>
      <c r="BF351" s="719"/>
      <c r="BG351" s="720"/>
      <c r="BH351" s="720"/>
      <c r="BI351" s="720"/>
      <c r="BJ351" s="720"/>
      <c r="BK351" s="719"/>
      <c r="BL351" s="720"/>
      <c r="BM351" s="720"/>
      <c r="BN351" s="720"/>
      <c r="BO351" s="720"/>
      <c r="BP351" s="719"/>
      <c r="BQ351" s="720"/>
      <c r="BR351" s="720"/>
      <c r="BS351" s="720"/>
      <c r="BT351" s="720"/>
      <c r="BU351" s="719"/>
      <c r="BV351" s="720"/>
      <c r="BW351" s="720"/>
      <c r="BX351" s="720"/>
      <c r="BY351" s="720"/>
      <c r="BZ351" s="719">
        <f>BZ337/BZ349</f>
        <v>0.565798387650243</v>
      </c>
      <c r="CA351" s="720"/>
      <c r="CB351" s="720"/>
      <c r="CC351" s="720"/>
      <c r="CD351" s="720"/>
      <c r="CE351" s="719">
        <f>CE337/CE349</f>
        <v>0.434102652829279</v>
      </c>
      <c r="CF351" s="720"/>
      <c r="CG351" s="720"/>
      <c r="CH351" s="720"/>
      <c r="CI351" s="720"/>
      <c r="CJ351" s="719">
        <f>CJ337/CJ349</f>
        <v>0.564480106865221</v>
      </c>
      <c r="CK351" s="720"/>
      <c r="CL351" s="720"/>
      <c r="CM351" s="720"/>
      <c r="CN351" s="720"/>
      <c r="CO351" s="719">
        <f>CO337/CO349</f>
        <v>0.593670181283599</v>
      </c>
      <c r="CP351" s="720"/>
      <c r="CQ351" s="720"/>
      <c r="CR351" s="720"/>
      <c r="CS351" s="720"/>
      <c r="CT351" s="719">
        <f>CT337/CT349</f>
        <v>0.61154316027299</v>
      </c>
      <c r="CU351" s="720"/>
      <c r="CV351" s="720"/>
      <c r="CW351" s="720"/>
      <c r="CX351" s="720"/>
      <c r="CY351" s="719">
        <f>CY337/CY349</f>
        <v>0.601006935920716</v>
      </c>
      <c r="CZ351" s="720"/>
      <c r="DA351" s="720"/>
      <c r="DB351" s="720"/>
      <c r="DC351" s="720"/>
      <c r="DD351" s="719">
        <f>DD337/DD349</f>
        <v>0.461300502785755</v>
      </c>
      <c r="DE351" s="720"/>
      <c r="DF351" s="720"/>
      <c r="DG351" s="720"/>
      <c r="DH351" s="720"/>
      <c r="DI351" s="719">
        <f>DI337/DI349</f>
        <v>0.297936527629874</v>
      </c>
      <c r="DJ351" s="720"/>
      <c r="DK351" s="720"/>
      <c r="DL351" s="720"/>
      <c r="DM351" s="720"/>
      <c r="DN351" s="719">
        <f>DN337/DN349</f>
        <v>0.256672055349387</v>
      </c>
      <c r="DO351" s="720"/>
      <c r="DP351" s="720"/>
      <c r="DQ351" s="720"/>
      <c r="DR351" s="720"/>
      <c r="DS351" s="719">
        <f>DS337/DS349</f>
        <v>0.261502122879224</v>
      </c>
    </row>
    <row r="352" spans="1:123">
      <c r="A352" s="6"/>
      <c r="B352" s="227"/>
      <c r="C352" s="124"/>
      <c r="H352" s="124"/>
      <c r="M352" s="124"/>
      <c r="N352" s="721"/>
      <c r="O352" s="721"/>
      <c r="P352" s="721"/>
      <c r="Q352" s="721"/>
      <c r="R352" s="124"/>
      <c r="S352" s="721"/>
      <c r="T352" s="721"/>
      <c r="U352" s="721"/>
      <c r="V352" s="721"/>
      <c r="W352" s="124"/>
      <c r="X352" s="721"/>
      <c r="Y352" s="721"/>
      <c r="Z352" s="721"/>
      <c r="AA352" s="721"/>
      <c r="AB352" s="124"/>
      <c r="AC352" s="721"/>
      <c r="AD352" s="721"/>
      <c r="AE352" s="721"/>
      <c r="AF352" s="721"/>
      <c r="AG352" s="124"/>
      <c r="AH352" s="721"/>
      <c r="AI352" s="721"/>
      <c r="AJ352" s="721"/>
      <c r="AK352" s="721"/>
      <c r="AL352" s="124"/>
      <c r="AM352" s="721"/>
      <c r="AN352" s="721"/>
      <c r="AO352" s="721"/>
      <c r="AP352" s="721"/>
      <c r="AQ352" s="124"/>
      <c r="AR352" s="721"/>
      <c r="AS352" s="721"/>
      <c r="AT352" s="721"/>
      <c r="AU352" s="721"/>
      <c r="AV352" s="124"/>
      <c r="AW352" s="721"/>
      <c r="AX352" s="721"/>
      <c r="AY352" s="721"/>
      <c r="AZ352" s="721"/>
      <c r="BA352" s="124"/>
      <c r="BB352" s="721"/>
      <c r="BC352" s="721"/>
      <c r="BD352" s="721"/>
      <c r="BE352" s="721"/>
      <c r="BF352" s="124"/>
      <c r="BG352" s="721"/>
      <c r="BH352" s="721"/>
      <c r="BI352" s="721"/>
      <c r="BJ352" s="721"/>
      <c r="BK352" s="124"/>
      <c r="BL352" s="721"/>
      <c r="BM352" s="721"/>
      <c r="BN352" s="721"/>
      <c r="BO352" s="721"/>
      <c r="BP352" s="124"/>
      <c r="BQ352" s="721"/>
      <c r="BR352" s="721"/>
      <c r="BS352" s="721"/>
      <c r="BT352" s="721"/>
      <c r="BU352" s="124"/>
      <c r="BV352" s="721"/>
      <c r="BW352" s="721"/>
      <c r="BX352" s="721"/>
      <c r="BY352" s="721"/>
      <c r="BZ352" s="124"/>
      <c r="CA352" s="721"/>
      <c r="CB352" s="721"/>
      <c r="CC352" s="721"/>
      <c r="CD352" s="721"/>
      <c r="CE352" s="124"/>
      <c r="CF352" s="721"/>
      <c r="CG352" s="721"/>
      <c r="CH352" s="721"/>
      <c r="CI352" s="721"/>
      <c r="CJ352" s="124"/>
      <c r="CK352" s="721"/>
      <c r="CL352" s="721"/>
      <c r="CM352" s="721"/>
      <c r="CN352" s="721"/>
      <c r="CO352" s="124"/>
      <c r="CP352" s="721"/>
      <c r="CQ352" s="721"/>
      <c r="CR352" s="721"/>
      <c r="CS352" s="721"/>
      <c r="CT352" s="124"/>
      <c r="CU352" s="721"/>
      <c r="CV352" s="721"/>
      <c r="CW352" s="721"/>
      <c r="CX352" s="721"/>
      <c r="CY352" s="124"/>
      <c r="CZ352" s="721"/>
      <c r="DA352" s="721"/>
      <c r="DB352" s="721"/>
      <c r="DC352" s="721"/>
      <c r="DD352" s="124"/>
      <c r="DE352" s="721"/>
      <c r="DF352" s="721"/>
      <c r="DG352" s="721"/>
      <c r="DH352" s="721"/>
      <c r="DI352" s="124"/>
      <c r="DJ352" s="721"/>
      <c r="DK352" s="721"/>
      <c r="DL352" s="721"/>
      <c r="DM352" s="721"/>
      <c r="DN352" s="124"/>
      <c r="DO352" s="721"/>
      <c r="DP352" s="721"/>
      <c r="DQ352" s="721"/>
      <c r="DR352" s="721"/>
      <c r="DS352" s="124"/>
    </row>
    <row r="353" spans="1:123">
      <c r="B353" s="722" t="s">
        <v>253</v>
      </c>
      <c r="C353" s="124"/>
      <c r="H353" s="124"/>
      <c r="M353" s="124"/>
      <c r="R353" s="124"/>
      <c r="W353" s="124"/>
      <c r="AB353" s="124"/>
      <c r="AG353" s="124"/>
      <c r="AL353" s="124"/>
      <c r="AQ353" s="124">
        <f>(AQ178-AQ173)+(AQ201-AQ196)+AQ322+AQ180+AQ185+AQ189+AQ191</f>
        <v>1352.353</v>
      </c>
      <c r="AV353" s="124">
        <f>(AV178-AV173)+(AV201-AV196)+AV322+AV180+AV185+AV189+AV191</f>
        <v>1458.324</v>
      </c>
      <c r="BA353" s="124">
        <f>(BA178-BA173)+(BA201-BA196)+BA322+BA180+BA185+BA189+BA191</f>
        <v>1757.966</v>
      </c>
      <c r="BF353" s="124">
        <f>(BF178-BF173)+(BF201-BF196)+BF322+BF180+BF185+BF189+BF191</f>
        <v>2246.822</v>
      </c>
      <c r="BK353" s="124">
        <f>(BK178-BK173)+(BK201-BK196)+BK322+BK180+BK185+BK189+BK191</f>
        <v>2631.476</v>
      </c>
      <c r="BP353" s="124">
        <f>(BP178-BP173)+(BP201-BP196)+BP322+BP180+BP185+BP189+BP191</f>
        <v>2992.576</v>
      </c>
      <c r="BU353" s="124">
        <f>(BU178-BU173)+(BU201-BU196)+BU322+BU180+BU185+BU189+BU191</f>
        <v>3703</v>
      </c>
      <c r="BZ353" s="124">
        <f>(BZ178-BZ173)+(BZ201-BZ196)+BZ322+BZ180+BZ185+BZ189+BZ191</f>
        <v>4703.623</v>
      </c>
      <c r="CE353" s="124">
        <f>(CE178-CE173)+(CE201-CE196)+CE322+CE180+CE185+CE189+CE191</f>
        <v>6013.196</v>
      </c>
      <c r="CJ353" s="124">
        <f>(CJ178-CJ173)+(CJ201-CJ196)+CJ322+CJ180+CJ185+CJ189+CJ191</f>
        <v>7673.556</v>
      </c>
      <c r="CO353" s="124">
        <f>(CO178-CO173)+(CO201-CO196)+CO322+CO180+CO185+CO189+CO191</f>
        <v>8988.12</v>
      </c>
      <c r="CT353" s="124">
        <f>(CT178-CT173)+(CT201-CT196)+CT322+CT180+CT185+CT189+CT191</f>
        <v>10048.678</v>
      </c>
      <c r="CY353" s="124">
        <f>(CY178-CY173)+(CY201-CY196)+CY322+CY180+CY185+CY189+CY191</f>
        <v>11816.443</v>
      </c>
      <c r="DD353" s="124">
        <f>(DD178-DD173)+(DD201-DD196)+DD322+DD180+DD185+DD189+DD191</f>
        <v>13629.446</v>
      </c>
      <c r="DI353" s="124">
        <f>(DI178-DI173)+(DI201-DI196)+DI322+DI180+DI185+DI189+DI191</f>
        <v>15043.2119152606</v>
      </c>
      <c r="DN353" s="124">
        <f>(DN178-DN173)+(DN201-DN196)+DN322+DN180+DN185+DN189+DN191</f>
        <v>16648.2306319854</v>
      </c>
      <c r="DS353" s="124">
        <f>(DS178-DS173)+(DS201-DS196)+DS322+DS180+DS185+DS189+DS191</f>
        <v>18510.3343038501</v>
      </c>
    </row>
    <row r="354" spans="1:123">
      <c r="B354" s="722" t="s">
        <v>254</v>
      </c>
      <c r="C354" s="124"/>
      <c r="H354" s="124"/>
      <c r="M354" s="124"/>
      <c r="N354" s="348"/>
      <c r="O354" s="348"/>
      <c r="P354" s="348"/>
      <c r="Q354" s="348"/>
      <c r="R354" s="124"/>
      <c r="S354" s="348"/>
      <c r="T354" s="348"/>
      <c r="U354" s="348"/>
      <c r="V354" s="348"/>
      <c r="W354" s="124"/>
      <c r="X354" s="348"/>
      <c r="Y354" s="348"/>
      <c r="Z354" s="348"/>
      <c r="AA354" s="348"/>
      <c r="AB354" s="124"/>
      <c r="AC354" s="348"/>
      <c r="AD354" s="348"/>
      <c r="AE354" s="348"/>
      <c r="AF354" s="348"/>
      <c r="AG354" s="124"/>
      <c r="AH354" s="348"/>
      <c r="AI354" s="348"/>
      <c r="AJ354" s="348"/>
      <c r="AK354" s="348"/>
      <c r="AL354" s="124"/>
      <c r="AM354" s="348"/>
      <c r="AN354" s="348"/>
      <c r="AO354" s="348"/>
      <c r="AP354" s="348"/>
      <c r="AQ354" s="124">
        <f>AVERAGE(AL353,AQ353)</f>
        <v>1352.353</v>
      </c>
      <c r="AR354" s="348"/>
      <c r="AS354" s="348"/>
      <c r="AT354" s="348"/>
      <c r="AU354" s="348"/>
      <c r="AV354" s="124">
        <f>AVERAGE(AQ353,AV353)</f>
        <v>1405.3385</v>
      </c>
      <c r="AW354" s="348"/>
      <c r="AX354" s="348"/>
      <c r="AY354" s="348"/>
      <c r="AZ354" s="348"/>
      <c r="BA354" s="124">
        <f>AVERAGE(AV353,BA353)</f>
        <v>1608.145</v>
      </c>
      <c r="BB354" s="348"/>
      <c r="BC354" s="348"/>
      <c r="BD354" s="348"/>
      <c r="BE354" s="348"/>
      <c r="BF354" s="124">
        <f>AVERAGE(BA353,BF353)</f>
        <v>2002.394</v>
      </c>
      <c r="BG354" s="348"/>
      <c r="BH354" s="348"/>
      <c r="BI354" s="348"/>
      <c r="BJ354" s="348"/>
      <c r="BK354" s="124">
        <f>AVERAGE(BF353,BK353)</f>
        <v>2439.149</v>
      </c>
      <c r="BL354" s="348"/>
      <c r="BM354" s="348"/>
      <c r="BN354" s="348"/>
      <c r="BO354" s="348"/>
      <c r="BP354" s="124">
        <f>AVERAGE(BK353,BP353)</f>
        <v>2812.026</v>
      </c>
      <c r="BQ354" s="348"/>
      <c r="BR354" s="348"/>
      <c r="BS354" s="348"/>
      <c r="BT354" s="348"/>
      <c r="BU354" s="124">
        <f>AVERAGE(BP353,BU353)</f>
        <v>3347.788</v>
      </c>
      <c r="BV354" s="348"/>
      <c r="BW354" s="348"/>
      <c r="BX354" s="348"/>
      <c r="BY354" s="348"/>
      <c r="BZ354" s="124">
        <f>AVERAGE(BU353,BZ353)</f>
        <v>4203.3115</v>
      </c>
      <c r="CA354" s="348"/>
      <c r="CB354" s="348"/>
      <c r="CC354" s="348"/>
      <c r="CD354" s="348"/>
      <c r="CE354" s="124">
        <f>AVERAGE(BZ353,CE353)</f>
        <v>5358.4095</v>
      </c>
      <c r="CF354" s="348"/>
      <c r="CG354" s="348"/>
      <c r="CH354" s="348"/>
      <c r="CI354" s="348"/>
      <c r="CJ354" s="124">
        <f>AVERAGE(CE353,CJ353)</f>
        <v>6843.376</v>
      </c>
      <c r="CK354" s="348"/>
      <c r="CL354" s="348"/>
      <c r="CM354" s="348"/>
      <c r="CN354" s="348"/>
      <c r="CO354" s="124">
        <f>AVERAGE(CJ353,CO353)</f>
        <v>8330.838</v>
      </c>
      <c r="CP354" s="348"/>
      <c r="CQ354" s="348"/>
      <c r="CR354" s="348"/>
      <c r="CS354" s="348"/>
      <c r="CT354" s="124">
        <f>AVERAGE(CO353,CT353)</f>
        <v>9518.399</v>
      </c>
      <c r="CU354" s="348"/>
      <c r="CV354" s="348"/>
      <c r="CW354" s="348"/>
      <c r="CX354" s="348"/>
      <c r="CY354" s="124">
        <f>AVERAGE(CT353,CY353)</f>
        <v>10932.5605</v>
      </c>
      <c r="CZ354" s="348"/>
      <c r="DA354" s="348"/>
      <c r="DB354" s="348"/>
      <c r="DC354" s="348"/>
      <c r="DD354" s="124">
        <f>AVERAGE(CY353,DD353)</f>
        <v>12722.9445</v>
      </c>
      <c r="DE354" s="348"/>
      <c r="DF354" s="348"/>
      <c r="DG354" s="348"/>
      <c r="DH354" s="348"/>
      <c r="DI354" s="124">
        <f>AVERAGE(DD353,DI353)</f>
        <v>14336.3289576303</v>
      </c>
      <c r="DJ354" s="348"/>
      <c r="DK354" s="348"/>
      <c r="DL354" s="348"/>
      <c r="DM354" s="348"/>
      <c r="DN354" s="124">
        <f>AVERAGE(DI353,DN353)</f>
        <v>15845.721273623</v>
      </c>
      <c r="DO354" s="348"/>
      <c r="DP354" s="348"/>
      <c r="DQ354" s="348"/>
      <c r="DR354" s="348"/>
      <c r="DS354" s="124">
        <f>AVERAGE(DN353,DS353)</f>
        <v>17579.2824679177</v>
      </c>
    </row>
    <row r="355" spans="1:123">
      <c r="B355" s="723"/>
      <c r="C355" s="124"/>
      <c r="H355" s="124"/>
      <c r="M355" s="124"/>
      <c r="R355" s="124"/>
      <c r="W355" s="124"/>
      <c r="AB355" s="124"/>
      <c r="AG355" s="124"/>
      <c r="AL355" s="124"/>
      <c r="AQ355" s="124"/>
      <c r="AV355" s="124"/>
      <c r="BA355" s="124"/>
      <c r="BF355" s="124"/>
      <c r="BK355" s="124"/>
      <c r="BP355" s="124"/>
      <c r="BU355" s="124"/>
      <c r="BZ355" s="124"/>
      <c r="CE355" s="124"/>
      <c r="CJ355" s="124"/>
      <c r="CO355" s="124"/>
      <c r="CT355" s="124"/>
      <c r="CY355" s="124"/>
      <c r="DD355" s="124"/>
      <c r="DI355" s="124"/>
      <c r="DN355" s="124"/>
      <c r="DS355" s="124"/>
    </row>
    <row r="356" spans="1:123">
      <c r="B356" s="722" t="s">
        <v>111</v>
      </c>
      <c r="C356" s="124"/>
      <c r="H356" s="124"/>
      <c r="M356" s="124"/>
      <c r="N356" s="348"/>
      <c r="O356" s="348"/>
      <c r="P356" s="348"/>
      <c r="Q356" s="348"/>
      <c r="R356" s="124"/>
      <c r="S356" s="348"/>
      <c r="T356" s="348"/>
      <c r="U356" s="348"/>
      <c r="V356" s="348"/>
      <c r="W356" s="124"/>
      <c r="X356" s="348"/>
      <c r="Y356" s="348"/>
      <c r="Z356" s="348"/>
      <c r="AA356" s="348"/>
      <c r="AB356" s="124"/>
      <c r="AC356" s="348"/>
      <c r="AD356" s="348"/>
      <c r="AE356" s="348"/>
      <c r="AF356" s="348"/>
      <c r="AG356" s="124"/>
      <c r="AH356" s="348"/>
      <c r="AI356" s="348"/>
      <c r="AJ356" s="348"/>
      <c r="AK356" s="348"/>
      <c r="AL356" s="124"/>
      <c r="AM356" s="348"/>
      <c r="AN356" s="348"/>
      <c r="AO356" s="348"/>
      <c r="AP356" s="348"/>
      <c r="AQ356" s="124">
        <f>AQ103</f>
        <v>280.113</v>
      </c>
      <c r="AR356" s="348"/>
      <c r="AS356" s="348"/>
      <c r="AT356" s="348"/>
      <c r="AU356" s="348"/>
      <c r="AV356" s="124">
        <f>AV103</f>
        <v>278.339</v>
      </c>
      <c r="AW356" s="348"/>
      <c r="AX356" s="348"/>
      <c r="AY356" s="348"/>
      <c r="AZ356" s="348"/>
      <c r="BA356" s="124">
        <f>BA103</f>
        <v>314.449</v>
      </c>
      <c r="BB356" s="348"/>
      <c r="BC356" s="348"/>
      <c r="BD356" s="348"/>
      <c r="BE356" s="348"/>
      <c r="BF356" s="124">
        <f>BF103</f>
        <v>298.74</v>
      </c>
      <c r="BG356" s="348"/>
      <c r="BH356" s="348"/>
      <c r="BI356" s="348"/>
      <c r="BJ356" s="348"/>
      <c r="BK356" s="124">
        <f>BK103</f>
        <v>385.119</v>
      </c>
      <c r="BL356" s="348"/>
      <c r="BM356" s="348"/>
      <c r="BN356" s="348"/>
      <c r="BO356" s="348"/>
      <c r="BP356" s="124">
        <f>BP103</f>
        <v>489.336</v>
      </c>
      <c r="BQ356" s="348"/>
      <c r="BR356" s="348"/>
      <c r="BS356" s="348"/>
      <c r="BT356" s="348"/>
      <c r="BU356" s="124">
        <f>BU103</f>
        <v>742.779</v>
      </c>
      <c r="BV356" s="348"/>
      <c r="BW356" s="348"/>
      <c r="BX356" s="348"/>
      <c r="BY356" s="348"/>
      <c r="BZ356" s="124">
        <f>BZ103</f>
        <v>669.316</v>
      </c>
      <c r="CA356" s="348"/>
      <c r="CB356" s="348"/>
      <c r="CC356" s="348"/>
      <c r="CD356" s="348"/>
      <c r="CE356" s="124">
        <f>CE103</f>
        <v>803.336</v>
      </c>
      <c r="CF356" s="348"/>
      <c r="CG356" s="348"/>
      <c r="CH356" s="348"/>
      <c r="CI356" s="348"/>
      <c r="CJ356" s="124">
        <f>CJ103</f>
        <v>1389.108</v>
      </c>
      <c r="CK356" s="348"/>
      <c r="CL356" s="348"/>
      <c r="CM356" s="348"/>
      <c r="CN356" s="348"/>
      <c r="CO356" s="124">
        <f>CO103</f>
        <v>966.463</v>
      </c>
      <c r="CP356" s="348"/>
      <c r="CQ356" s="348"/>
      <c r="CR356" s="348"/>
      <c r="CS356" s="348"/>
      <c r="CT356" s="124">
        <f>CT103</f>
        <v>2296.164</v>
      </c>
      <c r="CU356" s="348"/>
      <c r="CV356" s="348"/>
      <c r="CW356" s="348"/>
      <c r="CX356" s="348"/>
      <c r="CY356" s="124">
        <f>CY103</f>
        <v>2272.713</v>
      </c>
      <c r="CZ356" s="348"/>
      <c r="DA356" s="348"/>
      <c r="DB356" s="348"/>
      <c r="DC356" s="348"/>
      <c r="DD356" s="124">
        <f>DD103</f>
        <v>1602.477</v>
      </c>
      <c r="DE356" s="348"/>
      <c r="DF356" s="348"/>
      <c r="DG356" s="348"/>
      <c r="DH356" s="348"/>
      <c r="DI356" s="124">
        <f>DI103</f>
        <v>1383.63586705124</v>
      </c>
      <c r="DJ356" s="348"/>
      <c r="DK356" s="348"/>
      <c r="DL356" s="348"/>
      <c r="DM356" s="348"/>
      <c r="DN356" s="124">
        <f>DN103</f>
        <v>1593.87301319144</v>
      </c>
      <c r="DO356" s="348"/>
      <c r="DP356" s="348"/>
      <c r="DQ356" s="348"/>
      <c r="DR356" s="348"/>
      <c r="DS356" s="124">
        <f>DS103</f>
        <v>1675.1105207982</v>
      </c>
    </row>
    <row r="357" spans="1:123">
      <c r="B357" s="722" t="s">
        <v>255</v>
      </c>
      <c r="C357" s="124"/>
      <c r="H357" s="124"/>
      <c r="M357" s="124"/>
      <c r="N357" s="348"/>
      <c r="O357" s="348"/>
      <c r="P357" s="348"/>
      <c r="Q357" s="348"/>
      <c r="R357" s="124"/>
      <c r="S357" s="348"/>
      <c r="T357" s="348"/>
      <c r="U357" s="348"/>
      <c r="V357" s="348"/>
      <c r="W357" s="124"/>
      <c r="X357" s="348"/>
      <c r="Y357" s="348"/>
      <c r="Z357" s="348"/>
      <c r="AA357" s="348"/>
      <c r="AB357" s="124"/>
      <c r="AC357" s="348"/>
      <c r="AD357" s="348"/>
      <c r="AE357" s="348"/>
      <c r="AF357" s="348"/>
      <c r="AG357" s="124"/>
      <c r="AH357" s="348"/>
      <c r="AI357" s="348"/>
      <c r="AJ357" s="348"/>
      <c r="AK357" s="348"/>
      <c r="AL357" s="124"/>
      <c r="AM357" s="348"/>
      <c r="AN357" s="348"/>
      <c r="AO357" s="348"/>
      <c r="AP357" s="348"/>
      <c r="AQ357" s="124">
        <f>AQ294</f>
        <v>63.517</v>
      </c>
      <c r="AR357" s="348"/>
      <c r="AS357" s="348"/>
      <c r="AT357" s="348"/>
      <c r="AU357" s="348"/>
      <c r="AV357" s="124">
        <f>AV294</f>
        <v>130.676</v>
      </c>
      <c r="AW357" s="348"/>
      <c r="AX357" s="348"/>
      <c r="AY357" s="348"/>
      <c r="AZ357" s="348"/>
      <c r="BA357" s="124">
        <f>BA294</f>
        <v>126.652</v>
      </c>
      <c r="BB357" s="348"/>
      <c r="BC357" s="348"/>
      <c r="BD357" s="348"/>
      <c r="BE357" s="348"/>
      <c r="BF357" s="124">
        <f>BF294</f>
        <v>190.053</v>
      </c>
      <c r="BG357" s="348"/>
      <c r="BH357" s="348"/>
      <c r="BI357" s="348"/>
      <c r="BJ357" s="348"/>
      <c r="BK357" s="124">
        <f>BK294</f>
        <v>186.442</v>
      </c>
      <c r="BL357" s="348"/>
      <c r="BM357" s="348"/>
      <c r="BN357" s="348"/>
      <c r="BO357" s="348"/>
      <c r="BP357" s="124">
        <f>BP294</f>
        <v>153.183</v>
      </c>
      <c r="BQ357" s="348"/>
      <c r="BR357" s="348"/>
      <c r="BS357" s="348"/>
      <c r="BT357" s="348"/>
      <c r="BU357" s="124">
        <f>BU294</f>
        <v>47.4849999999999</v>
      </c>
      <c r="BV357" s="348"/>
      <c r="BW357" s="348"/>
      <c r="BX357" s="348"/>
      <c r="BY357" s="348"/>
      <c r="BZ357" s="124">
        <f>BZ294</f>
        <v>94.015</v>
      </c>
      <c r="CA357" s="348"/>
      <c r="CB357" s="348"/>
      <c r="CC357" s="348"/>
      <c r="CD357" s="348"/>
      <c r="CE357" s="124">
        <f>CE294</f>
        <v>90.6840000000002</v>
      </c>
      <c r="CF357" s="348"/>
      <c r="CG357" s="348"/>
      <c r="CH357" s="348"/>
      <c r="CI357" s="348"/>
      <c r="CJ357" s="124">
        <f>CJ294</f>
        <v>-50.3519999999999</v>
      </c>
      <c r="CK357" s="348"/>
      <c r="CL357" s="348"/>
      <c r="CM357" s="348"/>
      <c r="CN357" s="348"/>
      <c r="CO357" s="124">
        <f>CO294</f>
        <v>512.388</v>
      </c>
      <c r="CP357" s="348"/>
      <c r="CQ357" s="348"/>
      <c r="CR357" s="348"/>
      <c r="CS357" s="348"/>
      <c r="CT357" s="124">
        <f>CT294</f>
        <v>185.345000000001</v>
      </c>
      <c r="CU357" s="348"/>
      <c r="CV357" s="348"/>
      <c r="CW357" s="348"/>
      <c r="CX357" s="348"/>
      <c r="CY357" s="124">
        <f>CY294</f>
        <v>156.336</v>
      </c>
      <c r="CZ357" s="348"/>
      <c r="DA357" s="348"/>
      <c r="DB357" s="348"/>
      <c r="DC357" s="348"/>
      <c r="DD357" s="124">
        <f>DD294</f>
        <v>567.951</v>
      </c>
      <c r="DE357" s="348"/>
      <c r="DF357" s="348"/>
      <c r="DG357" s="348"/>
      <c r="DH357" s="348"/>
      <c r="DI357" s="124">
        <f>DI294</f>
        <v>836.559072853952</v>
      </c>
      <c r="DJ357" s="348"/>
      <c r="DK357" s="348"/>
      <c r="DL357" s="348"/>
      <c r="DM357" s="348"/>
      <c r="DN357" s="124">
        <f>DN294</f>
        <v>843.652887141754</v>
      </c>
      <c r="DO357" s="348"/>
      <c r="DP357" s="348"/>
      <c r="DQ357" s="348"/>
      <c r="DR357" s="348"/>
      <c r="DS357" s="124">
        <f>DS294</f>
        <v>862.011676284649</v>
      </c>
    </row>
    <row r="358" spans="1:123">
      <c r="B358" s="722" t="s">
        <v>256</v>
      </c>
      <c r="C358" s="124"/>
      <c r="H358" s="124"/>
      <c r="M358" s="124"/>
      <c r="R358" s="124"/>
      <c r="W358" s="124"/>
      <c r="AB358" s="124"/>
      <c r="AG358" s="124"/>
      <c r="AL358" s="124"/>
      <c r="AQ358" s="124">
        <f>AQ334</f>
        <v>58.6621633892332</v>
      </c>
      <c r="AV358" s="124">
        <f>AV334</f>
        <v>58.6848362887346</v>
      </c>
      <c r="BA358" s="124">
        <f>BA334</f>
        <v>71.2052129327783</v>
      </c>
      <c r="BF358" s="124">
        <f>BF334</f>
        <v>87.6282330335043</v>
      </c>
      <c r="BK358" s="124">
        <f>BK334</f>
        <v>102.277387411322</v>
      </c>
      <c r="BP358" s="124">
        <f>BP334</f>
        <v>116.246586990681</v>
      </c>
      <c r="BU358" s="124">
        <f>BU334</f>
        <v>142.559723173715</v>
      </c>
      <c r="BZ358" s="124">
        <f>BZ334</f>
        <v>184.660313231772</v>
      </c>
      <c r="CE358" s="124">
        <f>CE334</f>
        <v>192.812895034746</v>
      </c>
      <c r="CJ358" s="124">
        <f>CJ334</f>
        <v>235.332308317027</v>
      </c>
      <c r="CO358" s="124">
        <f>CO334</f>
        <v>270.981082814717</v>
      </c>
      <c r="CT358" s="124">
        <f>CT334</f>
        <v>321.73695974177</v>
      </c>
      <c r="CY358" s="124">
        <f>CY334</f>
        <v>378.900359947315</v>
      </c>
      <c r="DD358" s="124">
        <f>DD334</f>
        <v>427.581207840491</v>
      </c>
      <c r="DI358" s="124">
        <f>DI334</f>
        <v>487.74502099575</v>
      </c>
      <c r="DN358" s="124">
        <f>DN334</f>
        <v>561.212793749999</v>
      </c>
      <c r="DS358" s="124">
        <f>DS334</f>
        <v>645.3947128125</v>
      </c>
    </row>
    <row r="359" spans="1:123">
      <c r="B359" s="722" t="s">
        <v>257</v>
      </c>
      <c r="C359" s="124"/>
      <c r="H359" s="124"/>
      <c r="M359" s="124"/>
      <c r="R359" s="124"/>
      <c r="W359" s="124"/>
      <c r="AB359" s="124"/>
      <c r="AG359" s="124"/>
      <c r="AL359" s="124"/>
      <c r="AQ359" s="124">
        <f>AQ335</f>
        <v>-6.38621400591511</v>
      </c>
      <c r="AV359" s="124">
        <f>AV335</f>
        <v>-7.47575943151544</v>
      </c>
      <c r="BA359" s="124">
        <f>BA335</f>
        <v>-9.14847188066869</v>
      </c>
      <c r="BF359" s="124">
        <f>BF335</f>
        <v>-3.92055530622062</v>
      </c>
      <c r="BK359" s="124">
        <f>BK335</f>
        <v>-4.28016690266688</v>
      </c>
      <c r="BP359" s="124">
        <f>BP335</f>
        <v>-5.21672798444859</v>
      </c>
      <c r="BU359" s="124">
        <f>BU335</f>
        <v>-12.0499331618315</v>
      </c>
      <c r="BZ359" s="124">
        <f>BZ335</f>
        <v>-10.6071038775653</v>
      </c>
      <c r="CE359" s="124">
        <f>CE335</f>
        <v>0.811352386303676</v>
      </c>
      <c r="CJ359" s="124">
        <f>CJ335</f>
        <v>-0.648535355055724</v>
      </c>
      <c r="CO359" s="124">
        <f>CO335</f>
        <v>-5.3336916913149</v>
      </c>
      <c r="CT359" s="124">
        <f>CT335</f>
        <v>-55.3981446011227</v>
      </c>
      <c r="CY359" s="124">
        <f>CY335</f>
        <v>-91.183580475273</v>
      </c>
      <c r="DD359" s="124">
        <f>DD335</f>
        <v>-36.7068332637328</v>
      </c>
      <c r="DI359" s="124">
        <f>DI335</f>
        <v>-41.8362963379947</v>
      </c>
      <c r="DN359" s="124">
        <f>DN335</f>
        <v>-27.7996726116813</v>
      </c>
      <c r="DS359" s="124">
        <f>DS335</f>
        <v>-32.7381186216971</v>
      </c>
    </row>
    <row r="360" spans="1:123">
      <c r="B360" s="722"/>
      <c r="C360" s="124"/>
      <c r="H360" s="124"/>
      <c r="M360" s="124"/>
      <c r="R360" s="124"/>
      <c r="W360" s="124"/>
      <c r="AB360" s="124"/>
      <c r="AG360" s="124"/>
      <c r="AL360" s="124"/>
      <c r="AQ360" s="124"/>
      <c r="AV360" s="124"/>
      <c r="BA360" s="124"/>
      <c r="BF360" s="124"/>
      <c r="BK360" s="124"/>
      <c r="BP360" s="124"/>
      <c r="BU360" s="124"/>
      <c r="BZ360" s="124"/>
      <c r="CE360" s="124"/>
      <c r="CJ360" s="124"/>
      <c r="CO360" s="124"/>
      <c r="CT360" s="124"/>
      <c r="CY360" s="124"/>
      <c r="DD360" s="124"/>
      <c r="DI360" s="124"/>
      <c r="DN360" s="124"/>
      <c r="DS360" s="124"/>
    </row>
    <row r="361" spans="1:123">
      <c r="B361" s="722" t="s">
        <v>258</v>
      </c>
      <c r="C361" s="124"/>
      <c r="H361" s="124"/>
      <c r="M361" s="124"/>
      <c r="R361" s="124"/>
      <c r="W361" s="124"/>
      <c r="AB361" s="124"/>
      <c r="AG361" s="124"/>
      <c r="AL361" s="124"/>
      <c r="AQ361" s="124">
        <f>SUM(AQ356:AQ359)</f>
        <v>395.905949383318</v>
      </c>
      <c r="AV361" s="124">
        <f>SUM(AV356:AV359)</f>
        <v>460.224076857219</v>
      </c>
      <c r="BA361" s="124">
        <f>SUM(BA356:BA359)</f>
        <v>503.15774105211</v>
      </c>
      <c r="BF361" s="124">
        <f>SUM(BF356:BF359)</f>
        <v>572.500677727284</v>
      </c>
      <c r="BK361" s="124">
        <f>SUM(BK356:BK359)</f>
        <v>669.558220508655</v>
      </c>
      <c r="BP361" s="124">
        <f>SUM(BP356:BP359)</f>
        <v>753.548859006232</v>
      </c>
      <c r="BU361" s="124">
        <f>SUM(BU356:BU359)</f>
        <v>920.773790011884</v>
      </c>
      <c r="BZ361" s="124">
        <f>SUM(BZ356:BZ359)</f>
        <v>937.384209354207</v>
      </c>
      <c r="CE361" s="124">
        <f>SUM(CE356:CE359)</f>
        <v>1087.64424742105</v>
      </c>
      <c r="CJ361" s="124">
        <f>SUM(CJ356:CJ359)</f>
        <v>1573.43977296197</v>
      </c>
      <c r="CO361" s="124">
        <f>SUM(CO356:CO359)</f>
        <v>1744.4983911234</v>
      </c>
      <c r="CT361" s="124">
        <f>SUM(CT356:CT359)</f>
        <v>2747.84781514065</v>
      </c>
      <c r="CY361" s="124">
        <f>SUM(CY356:CY359)</f>
        <v>2716.76577947204</v>
      </c>
      <c r="DD361" s="124">
        <f>SUM(DD356:DD359)</f>
        <v>2561.30237457676</v>
      </c>
      <c r="DI361" s="124">
        <f>SUM(DI356:DI359)</f>
        <v>2666.10366456294</v>
      </c>
      <c r="DN361" s="124">
        <f>SUM(DN356:DN359)</f>
        <v>2970.93902147151</v>
      </c>
      <c r="DS361" s="124">
        <f>SUM(DS356:DS359)</f>
        <v>3149.77879127365</v>
      </c>
    </row>
    <row r="362" spans="1:123">
      <c r="B362" s="722"/>
      <c r="C362" s="124"/>
      <c r="H362" s="124"/>
      <c r="M362" s="124"/>
      <c r="R362" s="124"/>
      <c r="W362" s="124"/>
      <c r="AB362" s="124"/>
      <c r="AG362" s="124"/>
      <c r="AL362" s="124"/>
      <c r="AQ362" s="124"/>
      <c r="AV362" s="124"/>
      <c r="BA362" s="124"/>
      <c r="BF362" s="124"/>
      <c r="BK362" s="124"/>
      <c r="BP362" s="124"/>
      <c r="BU362" s="124"/>
      <c r="BZ362" s="124"/>
      <c r="CE362" s="124"/>
      <c r="CJ362" s="124"/>
      <c r="CO362" s="124"/>
      <c r="CT362" s="124"/>
      <c r="CY362" s="124"/>
      <c r="DD362" s="124"/>
      <c r="DI362" s="124"/>
      <c r="DN362" s="124"/>
      <c r="DS362" s="124"/>
    </row>
    <row r="363" s="490" customFormat="1" spans="1:123">
      <c r="A363" s="720"/>
      <c r="B363" s="750" t="s">
        <v>259</v>
      </c>
      <c r="C363" s="719"/>
      <c r="D363" s="720"/>
      <c r="E363" s="720"/>
      <c r="F363" s="720"/>
      <c r="G363" s="720"/>
      <c r="H363" s="719"/>
      <c r="I363" s="720"/>
      <c r="J363" s="720"/>
      <c r="K363" s="720"/>
      <c r="L363" s="720"/>
      <c r="M363" s="719"/>
      <c r="N363" s="720"/>
      <c r="O363" s="720"/>
      <c r="P363" s="720"/>
      <c r="Q363" s="720"/>
      <c r="R363" s="719"/>
      <c r="S363" s="720"/>
      <c r="T363" s="720"/>
      <c r="U363" s="720"/>
      <c r="V363" s="720"/>
      <c r="W363" s="719"/>
      <c r="X363" s="720"/>
      <c r="Y363" s="720"/>
      <c r="Z363" s="720"/>
      <c r="AA363" s="720"/>
      <c r="AB363" s="719"/>
      <c r="AC363" s="720"/>
      <c r="AD363" s="720"/>
      <c r="AE363" s="720"/>
      <c r="AF363" s="720"/>
      <c r="AG363" s="719"/>
      <c r="AH363" s="720"/>
      <c r="AI363" s="720"/>
      <c r="AJ363" s="720"/>
      <c r="AK363" s="720"/>
      <c r="AL363" s="719"/>
      <c r="AM363" s="720"/>
      <c r="AN363" s="720"/>
      <c r="AO363" s="720"/>
      <c r="AP363" s="720"/>
      <c r="AQ363" s="719">
        <f>AQ361/AQ354</f>
        <v>0.29275340786268</v>
      </c>
      <c r="AR363" s="720"/>
      <c r="AS363" s="720"/>
      <c r="AT363" s="720"/>
      <c r="AU363" s="720"/>
      <c r="AV363" s="719">
        <f>AV361/AV354</f>
        <v>0.32748272167682</v>
      </c>
      <c r="AW363" s="720"/>
      <c r="AX363" s="720"/>
      <c r="AY363" s="720"/>
      <c r="AZ363" s="720"/>
      <c r="BA363" s="719">
        <f>BA361/BA354</f>
        <v>0.312880829186491</v>
      </c>
      <c r="BB363" s="720"/>
      <c r="BC363" s="720"/>
      <c r="BD363" s="720"/>
      <c r="BE363" s="720"/>
      <c r="BF363" s="719">
        <f>BF361/BF354</f>
        <v>0.285908106859731</v>
      </c>
      <c r="BG363" s="720"/>
      <c r="BH363" s="720"/>
      <c r="BI363" s="720"/>
      <c r="BJ363" s="720"/>
      <c r="BK363" s="719">
        <f>BK361/BK354</f>
        <v>0.274504845955969</v>
      </c>
      <c r="BL363" s="720"/>
      <c r="BM363" s="720"/>
      <c r="BN363" s="720"/>
      <c r="BO363" s="720"/>
      <c r="BP363" s="719">
        <f>BP361/BP354</f>
        <v>0.26797364569397</v>
      </c>
      <c r="BQ363" s="720"/>
      <c r="BR363" s="720"/>
      <c r="BS363" s="720"/>
      <c r="BT363" s="720"/>
      <c r="BU363" s="719">
        <f>BU361/BU354</f>
        <v>0.27503945590697</v>
      </c>
      <c r="BV363" s="720"/>
      <c r="BW363" s="720"/>
      <c r="BX363" s="720"/>
      <c r="BY363" s="720"/>
      <c r="BZ363" s="719">
        <f>BZ361/BZ354</f>
        <v>0.223010883051186</v>
      </c>
      <c r="CA363" s="720"/>
      <c r="CB363" s="720"/>
      <c r="CC363" s="720"/>
      <c r="CD363" s="720"/>
      <c r="CE363" s="719">
        <f>CE361/CE354</f>
        <v>0.202978933846144</v>
      </c>
      <c r="CF363" s="720"/>
      <c r="CG363" s="720"/>
      <c r="CH363" s="720"/>
      <c r="CI363" s="720"/>
      <c r="CJ363" s="719">
        <f>CJ361/CJ354</f>
        <v>0.229921572767881</v>
      </c>
      <c r="CK363" s="720"/>
      <c r="CL363" s="720"/>
      <c r="CM363" s="720"/>
      <c r="CN363" s="720"/>
      <c r="CO363" s="719">
        <f>CO361/CO354</f>
        <v>0.209402510422529</v>
      </c>
      <c r="CP363" s="720"/>
      <c r="CQ363" s="720"/>
      <c r="CR363" s="720"/>
      <c r="CS363" s="720"/>
      <c r="CT363" s="719">
        <f>CT361/CT354</f>
        <v>0.288688025700609</v>
      </c>
      <c r="CU363" s="720"/>
      <c r="CV363" s="720"/>
      <c r="CW363" s="720"/>
      <c r="CX363" s="720"/>
      <c r="CY363" s="719">
        <f>CY361/CY354</f>
        <v>0.248502240575027</v>
      </c>
      <c r="CZ363" s="720"/>
      <c r="DA363" s="720"/>
      <c r="DB363" s="720"/>
      <c r="DC363" s="720"/>
      <c r="DD363" s="719">
        <f>DD361/DD354</f>
        <v>0.201313648312838</v>
      </c>
      <c r="DE363" s="720"/>
      <c r="DF363" s="720"/>
      <c r="DG363" s="720"/>
      <c r="DH363" s="720"/>
      <c r="DI363" s="719">
        <f>DI361/DI354</f>
        <v>0.185968365572691</v>
      </c>
      <c r="DJ363" s="720"/>
      <c r="DK363" s="720"/>
      <c r="DL363" s="720"/>
      <c r="DM363" s="720"/>
      <c r="DN363" s="719">
        <f>DN361/DN354</f>
        <v>0.18749156129718</v>
      </c>
      <c r="DO363" s="720"/>
      <c r="DP363" s="720"/>
      <c r="DQ363" s="720"/>
      <c r="DR363" s="720"/>
      <c r="DS363" s="719">
        <f>DS361/DS354</f>
        <v>0.179175617493035</v>
      </c>
    </row>
    <row r="364" spans="1:123">
      <c r="B364" s="198"/>
      <c r="C364" s="124"/>
      <c r="H364" s="124"/>
      <c r="M364" s="124"/>
      <c r="R364" s="124"/>
      <c r="W364" s="124"/>
      <c r="AB364" s="124"/>
      <c r="AG364" s="124"/>
      <c r="AL364" s="124"/>
      <c r="AQ364" s="124"/>
      <c r="AV364" s="124"/>
      <c r="BA364" s="124"/>
      <c r="BF364" s="124"/>
      <c r="BK364" s="124"/>
      <c r="BP364" s="124"/>
      <c r="BU364" s="124"/>
      <c r="BZ364" s="124"/>
      <c r="CE364" s="124"/>
      <c r="CJ364" s="124"/>
      <c r="CO364" s="124"/>
      <c r="CT364" s="124"/>
      <c r="CY364" s="124"/>
      <c r="DD364" s="124"/>
      <c r="DI364" s="124"/>
      <c r="DN364" s="124"/>
      <c r="DS364" s="124"/>
    </row>
    <row r="365" spans="1:123">
      <c r="A365" s="6"/>
      <c r="B365" s="198" t="s">
        <v>260</v>
      </c>
      <c r="C365" s="124"/>
      <c r="H365" s="124"/>
      <c r="M365" s="124">
        <f>M193</f>
        <v>72.293109</v>
      </c>
      <c r="R365" s="124">
        <f>R193</f>
        <v>155.092142</v>
      </c>
      <c r="W365" s="124">
        <f>W193</f>
        <v>211.636</v>
      </c>
      <c r="AB365" s="124">
        <f>AB193</f>
        <v>307.258</v>
      </c>
      <c r="AG365" s="124">
        <f>AG193</f>
        <v>499.302</v>
      </c>
      <c r="AL365" s="124">
        <f>AL193</f>
        <v>734.634</v>
      </c>
      <c r="AQ365" s="124">
        <f>AQ193</f>
        <v>1051.078</v>
      </c>
      <c r="AV365" s="124">
        <f>AV193</f>
        <v>1249.688</v>
      </c>
      <c r="BA365" s="124">
        <f>BA193</f>
        <v>1296.213</v>
      </c>
      <c r="BF365" s="124">
        <f>BF193</f>
        <v>1314.077</v>
      </c>
      <c r="BK365" s="124">
        <f>BK193-BK190</f>
        <v>1657.541</v>
      </c>
      <c r="BP365" s="124">
        <f>BP193-BP190</f>
        <v>1998.483</v>
      </c>
      <c r="BU365" s="124">
        <f>BU193-BU190</f>
        <v>2084.711</v>
      </c>
      <c r="BZ365" s="124">
        <f>BZ193-BZ190</f>
        <v>2591.69</v>
      </c>
      <c r="CE365" s="124">
        <f>CE193-CE190</f>
        <v>3450.38</v>
      </c>
      <c r="CJ365" s="124">
        <f>CJ193-CJ190</f>
        <v>4138.935</v>
      </c>
      <c r="CO365" s="124">
        <f>CO193-CO190</f>
        <v>4637.619</v>
      </c>
      <c r="CT365" s="124">
        <f>CT193-CT190</f>
        <v>5826.331</v>
      </c>
      <c r="CY365" s="124">
        <f>CY193-CY190</f>
        <v>6187.036</v>
      </c>
      <c r="DD365" s="124">
        <f>DD193-DD190</f>
        <v>6826.562</v>
      </c>
      <c r="DI365" s="124">
        <f>DI193-DI190</f>
        <v>6549.0950511085</v>
      </c>
      <c r="DN365" s="124">
        <f>DN193-DN190</f>
        <v>6851.44056540624</v>
      </c>
      <c r="DS365" s="124">
        <f>DS193-DS190</f>
        <v>7135.39362818422</v>
      </c>
    </row>
    <row r="366" spans="1:123">
      <c r="A366" s="6"/>
      <c r="B366" s="198" t="s">
        <v>246</v>
      </c>
      <c r="C366" s="124"/>
      <c r="H366" s="124"/>
      <c r="M366" s="124">
        <f>M322</f>
        <v>73.6</v>
      </c>
      <c r="R366" s="124">
        <f>R322</f>
        <v>152.049712</v>
      </c>
      <c r="W366" s="124">
        <f>W322</f>
        <v>261.611032</v>
      </c>
      <c r="AB366" s="124">
        <f>AB322</f>
        <v>333.112</v>
      </c>
      <c r="AG366" s="124">
        <f>AG322</f>
        <v>424.568</v>
      </c>
      <c r="AL366" s="124">
        <f>AL322</f>
        <v>536.936</v>
      </c>
      <c r="AQ366" s="124">
        <f>AQ322</f>
        <v>659.424</v>
      </c>
      <c r="AV366" s="124">
        <f>AV322</f>
        <v>666.944</v>
      </c>
      <c r="BA366" s="124">
        <f>BA322</f>
        <v>800.232</v>
      </c>
      <c r="BF366" s="124">
        <f>BF322</f>
        <v>995.848</v>
      </c>
      <c r="BK366" s="124">
        <f>BK322</f>
        <v>1179.2</v>
      </c>
      <c r="BP366" s="124">
        <f>BP322</f>
        <v>1338.4</v>
      </c>
      <c r="BU366" s="124">
        <f>BU322</f>
        <v>1584</v>
      </c>
      <c r="BZ366" s="124">
        <f>BZ322</f>
        <v>2053.456</v>
      </c>
      <c r="CE366" s="124">
        <f>CE322</f>
        <v>2129.68</v>
      </c>
      <c r="CJ366" s="124">
        <f>CJ322</f>
        <v>2550.136</v>
      </c>
      <c r="CO366" s="124">
        <f>CO322</f>
        <v>3015.984</v>
      </c>
      <c r="CT366" s="124">
        <f>CT322</f>
        <v>3607.744</v>
      </c>
      <c r="CY366" s="124">
        <f>CY322</f>
        <v>4303.176</v>
      </c>
      <c r="DD366" s="124">
        <f>DD322</f>
        <v>4849.8</v>
      </c>
      <c r="DI366" s="124">
        <f>DI322</f>
        <v>5577.27</v>
      </c>
      <c r="DN366" s="124">
        <f>DN322</f>
        <v>6413.8605</v>
      </c>
      <c r="DS366" s="124">
        <f>DS322</f>
        <v>7375.939575</v>
      </c>
    </row>
    <row r="367" spans="1:123">
      <c r="A367" s="6"/>
      <c r="B367" s="198"/>
      <c r="C367" s="124"/>
      <c r="H367" s="124"/>
      <c r="M367" s="124"/>
      <c r="R367" s="124"/>
      <c r="W367" s="124"/>
      <c r="AB367" s="124"/>
      <c r="AG367" s="124"/>
      <c r="AL367" s="124"/>
      <c r="AQ367" s="124"/>
      <c r="AV367" s="124"/>
      <c r="BA367" s="124"/>
      <c r="BF367" s="124"/>
      <c r="BK367" s="124"/>
      <c r="BP367" s="124"/>
      <c r="BU367" s="124"/>
      <c r="BZ367" s="124"/>
      <c r="CE367" s="124"/>
      <c r="CJ367" s="124"/>
      <c r="CO367" s="124"/>
      <c r="CT367" s="124"/>
      <c r="CY367" s="124"/>
      <c r="DD367" s="124"/>
      <c r="DI367" s="124"/>
      <c r="DN367" s="124"/>
      <c r="DS367" s="124"/>
    </row>
    <row r="368" spans="1:123">
      <c r="A368" s="6"/>
      <c r="B368" s="198" t="s">
        <v>261</v>
      </c>
      <c r="C368" s="124"/>
      <c r="H368" s="124"/>
      <c r="M368" s="124">
        <f>SUM(M365:M366)</f>
        <v>145.893109</v>
      </c>
      <c r="R368" s="124">
        <f>SUM(R365:R366)</f>
        <v>307.141854</v>
      </c>
      <c r="W368" s="124">
        <f>SUM(W365:W366)</f>
        <v>473.247032</v>
      </c>
      <c r="AB368" s="124">
        <f>SUM(AB365:AB366)</f>
        <v>640.37</v>
      </c>
      <c r="AG368" s="124">
        <f>SUM(AG365:AG366)</f>
        <v>923.87</v>
      </c>
      <c r="AL368" s="124">
        <f>SUM(AL365:AL366)</f>
        <v>1271.57</v>
      </c>
      <c r="AQ368" s="124">
        <f>SUM(AQ365:AQ366)</f>
        <v>1710.502</v>
      </c>
      <c r="AV368" s="124">
        <f>SUM(AV365:AV366)</f>
        <v>1916.632</v>
      </c>
      <c r="BA368" s="124">
        <f>SUM(BA365:BA366)</f>
        <v>2096.445</v>
      </c>
      <c r="BF368" s="124">
        <f>SUM(BF365:BF366)</f>
        <v>2309.925</v>
      </c>
      <c r="BK368" s="124">
        <f>SUM(BK365:BK366)</f>
        <v>2836.741</v>
      </c>
      <c r="BP368" s="124">
        <f>SUM(BP365:BP366)</f>
        <v>3336.883</v>
      </c>
      <c r="BU368" s="124">
        <f>SUM(BU365:BU366)</f>
        <v>3668.711</v>
      </c>
      <c r="BZ368" s="124">
        <f>SUM(BZ365:BZ366)</f>
        <v>4645.146</v>
      </c>
      <c r="CE368" s="124">
        <f>SUM(CE365:CE366)</f>
        <v>5580.06</v>
      </c>
      <c r="CJ368" s="124">
        <f>SUM(CJ365:CJ366)</f>
        <v>6689.071</v>
      </c>
      <c r="CO368" s="124">
        <f>SUM(CO365:CO366)</f>
        <v>7653.603</v>
      </c>
      <c r="CT368" s="124">
        <f>SUM(CT365:CT366)</f>
        <v>9434.075</v>
      </c>
      <c r="CY368" s="124">
        <f>SUM(CY365:CY366)</f>
        <v>10490.212</v>
      </c>
      <c r="DD368" s="124">
        <f>SUM(DD365:DD366)</f>
        <v>11676.362</v>
      </c>
      <c r="DI368" s="124">
        <f>SUM(DI365:DI366)</f>
        <v>12126.3650511085</v>
      </c>
      <c r="DN368" s="124">
        <f>SUM(DN365:DN366)</f>
        <v>13265.3010654062</v>
      </c>
      <c r="DS368" s="124">
        <f>SUM(DS365:DS366)</f>
        <v>14511.3332031842</v>
      </c>
    </row>
    <row r="369" spans="1:123">
      <c r="A369" s="6"/>
      <c r="B369" s="198" t="s">
        <v>262</v>
      </c>
      <c r="C369" s="124"/>
      <c r="H369" s="124"/>
      <c r="M369" s="124">
        <f>AVERAGE(H368,M368)</f>
        <v>145.893109</v>
      </c>
      <c r="R369" s="124">
        <f>AVERAGE(M368,R368)</f>
        <v>226.5174815</v>
      </c>
      <c r="W369" s="124">
        <f>AVERAGE(R368,W368)</f>
        <v>390.194443</v>
      </c>
      <c r="AB369" s="124">
        <f>AVERAGE(W368,AB368)</f>
        <v>556.808516</v>
      </c>
      <c r="AG369" s="124">
        <f>AVERAGE(AB368,AG368)</f>
        <v>782.12</v>
      </c>
      <c r="AL369" s="124">
        <f>AVERAGE(AG368,AL368)</f>
        <v>1097.72</v>
      </c>
      <c r="AQ369" s="124">
        <f>AVERAGE(AL368,AQ368)</f>
        <v>1491.036</v>
      </c>
      <c r="AV369" s="124">
        <f>AVERAGE(AQ368,AV368)</f>
        <v>1813.567</v>
      </c>
      <c r="BA369" s="124">
        <f>AVERAGE(AV368,BA368)</f>
        <v>2006.5385</v>
      </c>
      <c r="BF369" s="124">
        <f>AVERAGE(BA368,BF368)</f>
        <v>2203.185</v>
      </c>
      <c r="BK369" s="124">
        <f>AVERAGE(BF368,BK368)</f>
        <v>2573.333</v>
      </c>
      <c r="BP369" s="124">
        <f>AVERAGE(BK368,BP368)</f>
        <v>3086.812</v>
      </c>
      <c r="BU369" s="124">
        <f>AVERAGE(BP368,BU368)</f>
        <v>3502.797</v>
      </c>
      <c r="BZ369" s="124">
        <f>AVERAGE(BU368,BZ368)</f>
        <v>4156.9285</v>
      </c>
      <c r="CE369" s="124">
        <f>AVERAGE(BZ368,CE368)</f>
        <v>5112.603</v>
      </c>
      <c r="CJ369" s="124">
        <f>AVERAGE(CE368,CJ368)</f>
        <v>6134.5655</v>
      </c>
      <c r="CO369" s="124">
        <f>AVERAGE(CJ368,CO368)</f>
        <v>7171.337</v>
      </c>
      <c r="CT369" s="124">
        <f>AVERAGE(CO368,CT368)</f>
        <v>8543.839</v>
      </c>
      <c r="CY369" s="124">
        <f>AVERAGE(CT368,CY368)</f>
        <v>9962.1435</v>
      </c>
      <c r="DD369" s="124">
        <f>AVERAGE(CY368,DD368)</f>
        <v>11083.287</v>
      </c>
      <c r="DI369" s="124">
        <f>AVERAGE(DD368,DI368)</f>
        <v>11901.3635255542</v>
      </c>
      <c r="DN369" s="124">
        <f>AVERAGE(DI368,DN368)</f>
        <v>12695.8330582574</v>
      </c>
      <c r="DS369" s="124">
        <f>AVERAGE(DN368,DS368)</f>
        <v>13888.3171342952</v>
      </c>
    </row>
    <row r="370" spans="1:123">
      <c r="B370" s="227"/>
      <c r="C370" s="124"/>
      <c r="H370" s="124"/>
      <c r="M370" s="124"/>
      <c r="R370" s="124"/>
      <c r="W370" s="124"/>
      <c r="AB370" s="124"/>
      <c r="AG370" s="124"/>
      <c r="AL370" s="124"/>
      <c r="AQ370" s="124"/>
      <c r="AV370" s="124"/>
      <c r="BA370" s="124"/>
      <c r="BF370" s="124"/>
      <c r="BK370" s="124"/>
      <c r="BP370" s="124"/>
      <c r="BU370" s="124"/>
      <c r="BZ370" s="124"/>
      <c r="CE370" s="124"/>
      <c r="CJ370" s="124"/>
      <c r="CO370" s="124"/>
      <c r="CT370" s="124"/>
      <c r="CY370" s="124"/>
      <c r="DD370" s="124"/>
      <c r="DI370" s="124"/>
      <c r="DN370" s="124"/>
      <c r="DS370" s="124"/>
    </row>
    <row r="371" s="490" customFormat="1" spans="1:123">
      <c r="B371" s="718" t="s">
        <v>263</v>
      </c>
      <c r="C371" s="719"/>
      <c r="D371" s="720"/>
      <c r="E371" s="720"/>
      <c r="F371" s="720"/>
      <c r="G371" s="720"/>
      <c r="H371" s="719"/>
      <c r="I371" s="720"/>
      <c r="J371" s="720"/>
      <c r="K371" s="720"/>
      <c r="L371" s="720"/>
      <c r="M371" s="719">
        <f>M333/M369</f>
        <v>0.0754990491017641</v>
      </c>
      <c r="N371" s="720"/>
      <c r="O371" s="720"/>
      <c r="P371" s="720"/>
      <c r="Q371" s="720"/>
      <c r="R371" s="719">
        <f>R333/R369</f>
        <v>0.136159199703975</v>
      </c>
      <c r="S371" s="720"/>
      <c r="T371" s="720"/>
      <c r="U371" s="720"/>
      <c r="V371" s="720"/>
      <c r="W371" s="719">
        <f>W333/W369</f>
        <v>0.107950522503981</v>
      </c>
      <c r="X371" s="720"/>
      <c r="Y371" s="720"/>
      <c r="Z371" s="720"/>
      <c r="AA371" s="720"/>
      <c r="AB371" s="719">
        <f>AB333/AB369</f>
        <v>0.104911211523209</v>
      </c>
      <c r="AC371" s="720"/>
      <c r="AD371" s="720"/>
      <c r="AE371" s="720"/>
      <c r="AF371" s="720"/>
      <c r="AG371" s="719">
        <f>AG333/AG369</f>
        <v>0.156238173170357</v>
      </c>
      <c r="AH371" s="720"/>
      <c r="AI371" s="720"/>
      <c r="AJ371" s="720"/>
      <c r="AK371" s="720"/>
      <c r="AL371" s="719">
        <f>AL333/AL369</f>
        <v>0.168498342018001</v>
      </c>
      <c r="AM371" s="720"/>
      <c r="AN371" s="720"/>
      <c r="AO371" s="720"/>
      <c r="AP371" s="720"/>
      <c r="AQ371" s="719">
        <f>AQ333/AQ369</f>
        <v>0.182041882288556</v>
      </c>
      <c r="AR371" s="720"/>
      <c r="AS371" s="720"/>
      <c r="AT371" s="720"/>
      <c r="AU371" s="720"/>
      <c r="AV371" s="719">
        <f>AV333/AV369</f>
        <v>0.154142085734908</v>
      </c>
      <c r="AW371" s="720"/>
      <c r="AX371" s="720"/>
      <c r="AY371" s="720"/>
      <c r="AZ371" s="720"/>
      <c r="BA371" s="719">
        <f>BA333/BA369</f>
        <v>0.135922136555067</v>
      </c>
      <c r="BB371" s="720"/>
      <c r="BC371" s="720"/>
      <c r="BD371" s="720"/>
      <c r="BE371" s="720"/>
      <c r="BF371" s="719">
        <f>BF333/BF369</f>
        <v>0.118891513876502</v>
      </c>
      <c r="BG371" s="720"/>
      <c r="BH371" s="720"/>
      <c r="BI371" s="720"/>
      <c r="BJ371" s="720"/>
      <c r="BK371" s="719">
        <f>BK333/BK369</f>
        <v>0.114443518969368</v>
      </c>
      <c r="BL371" s="720"/>
      <c r="BM371" s="720"/>
      <c r="BN371" s="720"/>
      <c r="BO371" s="720"/>
      <c r="BP371" s="719">
        <f>BP333/BP369</f>
        <v>0.114175077717723</v>
      </c>
      <c r="BQ371" s="720"/>
      <c r="BR371" s="720"/>
      <c r="BS371" s="720"/>
      <c r="BT371" s="720"/>
      <c r="BU371" s="719">
        <f>BU333/BU369</f>
        <v>0.147019367665326</v>
      </c>
      <c r="BV371" s="720"/>
      <c r="BW371" s="720"/>
      <c r="BX371" s="720"/>
      <c r="BY371" s="720"/>
      <c r="BZ371" s="719">
        <f>BZ333/BZ369</f>
        <v>0.155306015006031</v>
      </c>
      <c r="CA371" s="720"/>
      <c r="CB371" s="720"/>
      <c r="CC371" s="720"/>
      <c r="CD371" s="720"/>
      <c r="CE371" s="719">
        <f>CE333/CE369</f>
        <v>0.120013034456225</v>
      </c>
      <c r="CF371" s="720"/>
      <c r="CG371" s="720"/>
      <c r="CH371" s="720"/>
      <c r="CI371" s="720"/>
      <c r="CJ371" s="719">
        <f>CJ333/CJ369</f>
        <v>0.165504631094085</v>
      </c>
      <c r="CK371" s="720"/>
      <c r="CL371" s="720"/>
      <c r="CM371" s="720"/>
      <c r="CN371" s="720"/>
      <c r="CO371" s="719">
        <f>CO333/CO369</f>
        <v>0.179736498228991</v>
      </c>
      <c r="CP371" s="720"/>
      <c r="CQ371" s="720"/>
      <c r="CR371" s="720"/>
      <c r="CS371" s="720"/>
      <c r="CT371" s="719">
        <f>CT333/CT369</f>
        <v>0.189881270000523</v>
      </c>
      <c r="CU371" s="720"/>
      <c r="CV371" s="720"/>
      <c r="CW371" s="720"/>
      <c r="CX371" s="720"/>
      <c r="CY371" s="719">
        <f>CY333/CY369</f>
        <v>0.182151160540902</v>
      </c>
      <c r="CZ371" s="720"/>
      <c r="DA371" s="720"/>
      <c r="DB371" s="720"/>
      <c r="DC371" s="720"/>
      <c r="DD371" s="719">
        <f>DD333/DD369</f>
        <v>0.142483272336086</v>
      </c>
      <c r="DE371" s="720"/>
      <c r="DF371" s="720"/>
      <c r="DG371" s="720"/>
      <c r="DH371" s="720"/>
      <c r="DI371" s="719">
        <f>DI333/DI369</f>
        <v>0.0907331178975057</v>
      </c>
      <c r="DJ371" s="720"/>
      <c r="DK371" s="720"/>
      <c r="DL371" s="720"/>
      <c r="DM371" s="720"/>
      <c r="DN371" s="719">
        <f>DN333/DN369</f>
        <v>0.0696711465738706</v>
      </c>
      <c r="DO371" s="720"/>
      <c r="DP371" s="720"/>
      <c r="DQ371" s="720"/>
      <c r="DR371" s="720"/>
      <c r="DS371" s="719">
        <f>DS333/DS369</f>
        <v>0.061375159813151</v>
      </c>
    </row>
    <row r="372" s="490" customFormat="1" spans="1:123">
      <c r="B372" s="718"/>
      <c r="C372" s="719"/>
      <c r="D372" s="720"/>
      <c r="E372" s="720"/>
      <c r="F372" s="720"/>
      <c r="G372" s="720"/>
      <c r="H372" s="719"/>
      <c r="I372" s="720"/>
      <c r="J372" s="720"/>
      <c r="K372" s="720"/>
      <c r="L372" s="720"/>
      <c r="M372" s="719"/>
      <c r="N372" s="720"/>
      <c r="O372" s="720"/>
      <c r="P372" s="720"/>
      <c r="Q372" s="720"/>
      <c r="R372" s="719"/>
      <c r="S372" s="720"/>
      <c r="T372" s="720"/>
      <c r="U372" s="720"/>
      <c r="V372" s="720"/>
      <c r="W372" s="719"/>
      <c r="X372" s="720"/>
      <c r="Y372" s="720"/>
      <c r="Z372" s="720"/>
      <c r="AA372" s="720"/>
      <c r="AB372" s="719"/>
      <c r="AC372" s="720"/>
      <c r="AD372" s="720"/>
      <c r="AE372" s="720"/>
      <c r="AF372" s="720"/>
      <c r="AG372" s="719"/>
      <c r="AH372" s="720"/>
      <c r="AI372" s="720"/>
      <c r="AJ372" s="720"/>
      <c r="AK372" s="720"/>
      <c r="AL372" s="719"/>
      <c r="AM372" s="720"/>
      <c r="AN372" s="720"/>
      <c r="AO372" s="720"/>
      <c r="AP372" s="720"/>
      <c r="AQ372" s="719"/>
      <c r="AR372" s="720"/>
      <c r="AS372" s="720"/>
      <c r="AT372" s="720"/>
      <c r="AU372" s="720"/>
      <c r="AV372" s="719"/>
      <c r="AW372" s="720"/>
      <c r="AX372" s="720"/>
      <c r="AY372" s="720"/>
      <c r="AZ372" s="720"/>
      <c r="BA372" s="719"/>
      <c r="BB372" s="720"/>
      <c r="BC372" s="720"/>
      <c r="BD372" s="720"/>
      <c r="BE372" s="720"/>
      <c r="BF372" s="719"/>
      <c r="BG372" s="720"/>
      <c r="BH372" s="720"/>
      <c r="BI372" s="720"/>
      <c r="BJ372" s="720"/>
      <c r="BK372" s="719"/>
      <c r="BL372" s="720"/>
      <c r="BM372" s="720"/>
      <c r="BN372" s="720"/>
      <c r="BO372" s="720"/>
      <c r="BP372" s="719"/>
      <c r="BQ372" s="720"/>
      <c r="BR372" s="720"/>
      <c r="BS372" s="720"/>
      <c r="BT372" s="720"/>
      <c r="BU372" s="719"/>
      <c r="BV372" s="720"/>
      <c r="BW372" s="720"/>
      <c r="BX372" s="720"/>
      <c r="BY372" s="720"/>
      <c r="BZ372" s="719"/>
      <c r="CA372" s="720"/>
      <c r="CB372" s="720"/>
      <c r="CC372" s="720"/>
      <c r="CD372" s="720"/>
      <c r="CE372" s="719"/>
      <c r="CF372" s="720"/>
      <c r="CG372" s="720"/>
      <c r="CH372" s="720"/>
      <c r="CI372" s="720"/>
      <c r="CJ372" s="719"/>
      <c r="CK372" s="720"/>
      <c r="CL372" s="720"/>
      <c r="CM372" s="720"/>
      <c r="CN372" s="720"/>
      <c r="CO372" s="719"/>
      <c r="CP372" s="720"/>
      <c r="CQ372" s="720"/>
      <c r="CR372" s="720"/>
      <c r="CS372" s="720"/>
      <c r="CT372" s="719"/>
      <c r="CU372" s="720"/>
      <c r="CV372" s="720"/>
      <c r="CW372" s="720"/>
      <c r="CX372" s="720"/>
      <c r="CY372" s="719"/>
      <c r="CZ372" s="720"/>
      <c r="DA372" s="720"/>
      <c r="DB372" s="720"/>
      <c r="DC372" s="720"/>
      <c r="DD372" s="719"/>
      <c r="DE372" s="720"/>
      <c r="DF372" s="720"/>
      <c r="DG372" s="720"/>
      <c r="DH372" s="720"/>
      <c r="DI372" s="719"/>
      <c r="DJ372" s="720"/>
      <c r="DK372" s="720"/>
      <c r="DL372" s="720"/>
      <c r="DM372" s="720"/>
      <c r="DN372" s="719"/>
      <c r="DO372" s="720"/>
      <c r="DP372" s="720"/>
      <c r="DQ372" s="720"/>
      <c r="DR372" s="720"/>
      <c r="DS372" s="719"/>
    </row>
    <row r="373" s="490" customFormat="1" spans="1:123">
      <c r="B373" s="714" t="s">
        <v>264</v>
      </c>
      <c r="C373" s="510"/>
      <c r="D373" s="511"/>
      <c r="E373" s="511"/>
      <c r="F373" s="511"/>
      <c r="G373" s="511"/>
      <c r="H373" s="510"/>
      <c r="I373" s="511"/>
      <c r="J373" s="511"/>
      <c r="K373" s="511"/>
      <c r="L373" s="511"/>
      <c r="M373" s="124">
        <f>M193</f>
        <v>72.293109</v>
      </c>
      <c r="N373" s="511"/>
      <c r="O373" s="511"/>
      <c r="P373" s="511"/>
      <c r="Q373" s="511"/>
      <c r="R373" s="124">
        <f>R193</f>
        <v>155.092142</v>
      </c>
      <c r="S373" s="511"/>
      <c r="T373" s="511"/>
      <c r="U373" s="511"/>
      <c r="V373" s="511"/>
      <c r="W373" s="124">
        <f>W193</f>
        <v>211.636</v>
      </c>
      <c r="X373" s="511"/>
      <c r="Y373" s="511"/>
      <c r="Z373" s="511"/>
      <c r="AA373" s="511"/>
      <c r="AB373" s="124">
        <f>AB193</f>
        <v>307.258</v>
      </c>
      <c r="AC373" s="511"/>
      <c r="AD373" s="511"/>
      <c r="AE373" s="511"/>
      <c r="AF373" s="511"/>
      <c r="AG373" s="124">
        <f>AG193</f>
        <v>499.302</v>
      </c>
      <c r="AH373" s="511"/>
      <c r="AI373" s="511"/>
      <c r="AJ373" s="511"/>
      <c r="AK373" s="511"/>
      <c r="AL373" s="124">
        <f>AL193</f>
        <v>734.634</v>
      </c>
      <c r="AM373" s="511"/>
      <c r="AN373" s="511"/>
      <c r="AO373" s="511"/>
      <c r="AP373" s="511"/>
      <c r="AQ373" s="124">
        <f>AQ193</f>
        <v>1051.078</v>
      </c>
      <c r="AR373" s="511"/>
      <c r="AS373" s="511"/>
      <c r="AT373" s="511"/>
      <c r="AU373" s="511"/>
      <c r="AV373" s="124">
        <f>AV193</f>
        <v>1249.688</v>
      </c>
      <c r="AW373" s="511"/>
      <c r="AX373" s="511"/>
      <c r="AY373" s="511"/>
      <c r="AZ373" s="511"/>
      <c r="BA373" s="124">
        <f>BA193</f>
        <v>1296.213</v>
      </c>
      <c r="BB373" s="511"/>
      <c r="BC373" s="511"/>
      <c r="BD373" s="511"/>
      <c r="BE373" s="511"/>
      <c r="BF373" s="124">
        <f>BF193</f>
        <v>1314.077</v>
      </c>
      <c r="BG373" s="511"/>
      <c r="BH373" s="511"/>
      <c r="BI373" s="511"/>
      <c r="BJ373" s="511"/>
      <c r="BK373" s="124">
        <f>BK193</f>
        <v>1657.541</v>
      </c>
      <c r="BL373" s="511"/>
      <c r="BM373" s="511"/>
      <c r="BN373" s="511"/>
      <c r="BO373" s="511"/>
      <c r="BP373" s="124">
        <f>BP193</f>
        <v>1998.483</v>
      </c>
      <c r="BQ373" s="511"/>
      <c r="BR373" s="511"/>
      <c r="BS373" s="511"/>
      <c r="BT373" s="511"/>
      <c r="BU373" s="124">
        <f>BU193</f>
        <v>2084.711</v>
      </c>
      <c r="BV373" s="511"/>
      <c r="BW373" s="511"/>
      <c r="BX373" s="511"/>
      <c r="BY373" s="511"/>
      <c r="BZ373" s="124">
        <f>BZ193</f>
        <v>3281.354</v>
      </c>
      <c r="CA373" s="511"/>
      <c r="CB373" s="511"/>
      <c r="CC373" s="511"/>
      <c r="CD373" s="511"/>
      <c r="CE373" s="124">
        <f>CE193</f>
        <v>4185.215</v>
      </c>
      <c r="CF373" s="511"/>
      <c r="CG373" s="511"/>
      <c r="CH373" s="511"/>
      <c r="CI373" s="511"/>
      <c r="CJ373" s="124">
        <f>CJ193</f>
        <v>4942.478</v>
      </c>
      <c r="CK373" s="511"/>
      <c r="CL373" s="511"/>
      <c r="CM373" s="511"/>
      <c r="CN373" s="511"/>
      <c r="CO373" s="124">
        <f>CO193</f>
        <v>5607.038</v>
      </c>
      <c r="CP373" s="511"/>
      <c r="CQ373" s="511"/>
      <c r="CR373" s="511"/>
      <c r="CS373" s="511"/>
      <c r="CT373" s="124">
        <f>CT193</f>
        <v>7091.941</v>
      </c>
      <c r="CU373" s="511"/>
      <c r="CV373" s="511"/>
      <c r="CW373" s="511"/>
      <c r="CX373" s="511"/>
      <c r="CY373" s="124">
        <f>CY193</f>
        <v>7603.292</v>
      </c>
      <c r="CZ373" s="511"/>
      <c r="DA373" s="511"/>
      <c r="DB373" s="511"/>
      <c r="DC373" s="511"/>
      <c r="DD373" s="124">
        <f>DD193</f>
        <v>8456.743</v>
      </c>
      <c r="DE373" s="511"/>
      <c r="DF373" s="511"/>
      <c r="DG373" s="511"/>
      <c r="DH373" s="511"/>
      <c r="DI373" s="124">
        <f>DI193</f>
        <v>8496.1720511085</v>
      </c>
      <c r="DJ373" s="511"/>
      <c r="DK373" s="511"/>
      <c r="DL373" s="511"/>
      <c r="DM373" s="511"/>
      <c r="DN373" s="124">
        <f>DN193</f>
        <v>8798.51756540624</v>
      </c>
      <c r="DO373" s="511"/>
      <c r="DP373" s="511"/>
      <c r="DQ373" s="511"/>
      <c r="DR373" s="511"/>
      <c r="DS373" s="124">
        <f>DS193</f>
        <v>9082.47062818422</v>
      </c>
    </row>
    <row r="374" s="490" customFormat="1" spans="1:123">
      <c r="B374" s="714" t="s">
        <v>265</v>
      </c>
      <c r="C374" s="510"/>
      <c r="D374" s="511"/>
      <c r="E374" s="511"/>
      <c r="F374" s="511"/>
      <c r="G374" s="511"/>
      <c r="H374" s="510"/>
      <c r="I374" s="511"/>
      <c r="J374" s="511"/>
      <c r="K374" s="511"/>
      <c r="L374" s="511"/>
      <c r="M374" s="124">
        <f>AVERAGE(H373,M373)</f>
        <v>72.293109</v>
      </c>
      <c r="N374" s="511"/>
      <c r="O374" s="511"/>
      <c r="P374" s="511"/>
      <c r="Q374" s="511"/>
      <c r="R374" s="124">
        <f>AVERAGE(M373,R373)</f>
        <v>113.6926255</v>
      </c>
      <c r="S374" s="511"/>
      <c r="T374" s="511"/>
      <c r="U374" s="511"/>
      <c r="V374" s="511"/>
      <c r="W374" s="124">
        <f>AVERAGE(R373,W373)</f>
        <v>183.364071</v>
      </c>
      <c r="X374" s="511"/>
      <c r="Y374" s="511"/>
      <c r="Z374" s="511"/>
      <c r="AA374" s="511"/>
      <c r="AB374" s="124">
        <f>AVERAGE(W373,AB373)</f>
        <v>259.447</v>
      </c>
      <c r="AC374" s="511"/>
      <c r="AD374" s="511"/>
      <c r="AE374" s="511"/>
      <c r="AF374" s="511"/>
      <c r="AG374" s="124">
        <f>AVERAGE(AB373,AG373)</f>
        <v>403.28</v>
      </c>
      <c r="AH374" s="511"/>
      <c r="AI374" s="511"/>
      <c r="AJ374" s="511"/>
      <c r="AK374" s="511"/>
      <c r="AL374" s="124">
        <f>AVERAGE(AG373,AL373)</f>
        <v>616.968</v>
      </c>
      <c r="AM374" s="511"/>
      <c r="AN374" s="511"/>
      <c r="AO374" s="511"/>
      <c r="AP374" s="511"/>
      <c r="AQ374" s="124">
        <f>AVERAGE(AL373,AQ373)</f>
        <v>892.856</v>
      </c>
      <c r="AR374" s="511"/>
      <c r="AS374" s="511"/>
      <c r="AT374" s="511"/>
      <c r="AU374" s="511"/>
      <c r="AV374" s="124">
        <f>AVERAGE(AQ373,AV373)</f>
        <v>1150.383</v>
      </c>
      <c r="AW374" s="511"/>
      <c r="AX374" s="511"/>
      <c r="AY374" s="511"/>
      <c r="AZ374" s="511"/>
      <c r="BA374" s="124">
        <f>AVERAGE(AV373,BA373)</f>
        <v>1272.9505</v>
      </c>
      <c r="BB374" s="511"/>
      <c r="BC374" s="511"/>
      <c r="BD374" s="511"/>
      <c r="BE374" s="511"/>
      <c r="BF374" s="124">
        <f>AVERAGE(BA373,BF373)</f>
        <v>1305.145</v>
      </c>
      <c r="BG374" s="511"/>
      <c r="BH374" s="511"/>
      <c r="BI374" s="511"/>
      <c r="BJ374" s="511"/>
      <c r="BK374" s="124">
        <f>AVERAGE(BF373,BK373)</f>
        <v>1485.809</v>
      </c>
      <c r="BL374" s="511"/>
      <c r="BM374" s="511"/>
      <c r="BN374" s="511"/>
      <c r="BO374" s="511"/>
      <c r="BP374" s="124">
        <f>AVERAGE(BK373,BP373)</f>
        <v>1828.012</v>
      </c>
      <c r="BQ374" s="511"/>
      <c r="BR374" s="511"/>
      <c r="BS374" s="511"/>
      <c r="BT374" s="511"/>
      <c r="BU374" s="124">
        <f>AVERAGE(BP373,BU373)</f>
        <v>2041.597</v>
      </c>
      <c r="BV374" s="511"/>
      <c r="BW374" s="511"/>
      <c r="BX374" s="511"/>
      <c r="BY374" s="511"/>
      <c r="BZ374" s="124">
        <f>AVERAGE(BU373,BZ373)</f>
        <v>2683.0325</v>
      </c>
      <c r="CA374" s="511"/>
      <c r="CB374" s="511"/>
      <c r="CC374" s="511"/>
      <c r="CD374" s="511"/>
      <c r="CE374" s="124">
        <f>AVERAGE(BZ373,CE373)</f>
        <v>3733.2845</v>
      </c>
      <c r="CF374" s="511"/>
      <c r="CG374" s="511"/>
      <c r="CH374" s="511"/>
      <c r="CI374" s="511"/>
      <c r="CJ374" s="124">
        <f>AVERAGE(CE373,CJ373)</f>
        <v>4563.8465</v>
      </c>
      <c r="CK374" s="511"/>
      <c r="CL374" s="511"/>
      <c r="CM374" s="511"/>
      <c r="CN374" s="511"/>
      <c r="CO374" s="124">
        <f>AVERAGE(CJ373,CO373)</f>
        <v>5274.758</v>
      </c>
      <c r="CP374" s="511"/>
      <c r="CQ374" s="511"/>
      <c r="CR374" s="511"/>
      <c r="CS374" s="511"/>
      <c r="CT374" s="124">
        <f>AVERAGE(CO373,CT373)</f>
        <v>6349.4895</v>
      </c>
      <c r="CU374" s="511"/>
      <c r="CV374" s="511"/>
      <c r="CW374" s="511"/>
      <c r="CX374" s="511"/>
      <c r="CY374" s="124">
        <f>AVERAGE(CT373,CY373)</f>
        <v>7347.6165</v>
      </c>
      <c r="CZ374" s="511"/>
      <c r="DA374" s="511"/>
      <c r="DB374" s="511"/>
      <c r="DC374" s="511"/>
      <c r="DD374" s="124">
        <f>AVERAGE(CY373,DD373)</f>
        <v>8030.0175</v>
      </c>
      <c r="DE374" s="511"/>
      <c r="DF374" s="511"/>
      <c r="DG374" s="511"/>
      <c r="DH374" s="511"/>
      <c r="DI374" s="124">
        <f>AVERAGE(DD373,DI373)</f>
        <v>8476.45752555425</v>
      </c>
      <c r="DJ374" s="511"/>
      <c r="DK374" s="511"/>
      <c r="DL374" s="511"/>
      <c r="DM374" s="511"/>
      <c r="DN374" s="124">
        <f>AVERAGE(DI373,DN373)</f>
        <v>8647.34480825737</v>
      </c>
      <c r="DO374" s="511"/>
      <c r="DP374" s="511"/>
      <c r="DQ374" s="511"/>
      <c r="DR374" s="511"/>
      <c r="DS374" s="124">
        <f>AVERAGE(DN373,DS373)</f>
        <v>8940.49409679523</v>
      </c>
    </row>
    <row r="375" s="490" customFormat="1" spans="1:123">
      <c r="B375" s="718"/>
      <c r="C375" s="719"/>
      <c r="D375" s="720"/>
      <c r="E375" s="720"/>
      <c r="F375" s="720"/>
      <c r="G375" s="720"/>
      <c r="H375" s="719"/>
      <c r="I375" s="720"/>
      <c r="J375" s="720"/>
      <c r="K375" s="720"/>
      <c r="L375" s="720"/>
      <c r="M375" s="719"/>
      <c r="N375" s="720"/>
      <c r="O375" s="720"/>
      <c r="P375" s="720"/>
      <c r="Q375" s="720"/>
      <c r="R375" s="719"/>
      <c r="S375" s="720"/>
      <c r="T375" s="720"/>
      <c r="U375" s="720"/>
      <c r="V375" s="720"/>
      <c r="W375" s="719"/>
      <c r="X375" s="720"/>
      <c r="Y375" s="720"/>
      <c r="Z375" s="720"/>
      <c r="AA375" s="720"/>
      <c r="AB375" s="719"/>
      <c r="AC375" s="720"/>
      <c r="AD375" s="720"/>
      <c r="AE375" s="720"/>
      <c r="AF375" s="720"/>
      <c r="AG375" s="719"/>
      <c r="AH375" s="720"/>
      <c r="AI375" s="720"/>
      <c r="AJ375" s="720"/>
      <c r="AK375" s="720"/>
      <c r="AL375" s="719"/>
      <c r="AM375" s="720"/>
      <c r="AN375" s="720"/>
      <c r="AO375" s="720"/>
      <c r="AP375" s="720"/>
      <c r="AQ375" s="719"/>
      <c r="AR375" s="720"/>
      <c r="AS375" s="720"/>
      <c r="AT375" s="720"/>
      <c r="AU375" s="720"/>
      <c r="AV375" s="719"/>
      <c r="AW375" s="720"/>
      <c r="AX375" s="720"/>
      <c r="AY375" s="720"/>
      <c r="AZ375" s="720"/>
      <c r="BA375" s="719"/>
      <c r="BB375" s="720"/>
      <c r="BC375" s="720"/>
      <c r="BD375" s="720"/>
      <c r="BE375" s="720"/>
      <c r="BF375" s="719"/>
      <c r="BG375" s="720"/>
      <c r="BH375" s="720"/>
      <c r="BI375" s="720"/>
      <c r="BJ375" s="720"/>
      <c r="BK375" s="719"/>
      <c r="BL375" s="720"/>
      <c r="BM375" s="720"/>
      <c r="BN375" s="720"/>
      <c r="BO375" s="720"/>
      <c r="BP375" s="719"/>
      <c r="BQ375" s="720"/>
      <c r="BR375" s="720"/>
      <c r="BS375" s="720"/>
      <c r="BT375" s="720"/>
      <c r="BU375" s="719"/>
      <c r="BV375" s="720"/>
      <c r="BW375" s="720"/>
      <c r="BX375" s="720"/>
      <c r="BY375" s="720"/>
      <c r="BZ375" s="719"/>
      <c r="CA375" s="720"/>
      <c r="CB375" s="720"/>
      <c r="CC375" s="720"/>
      <c r="CD375" s="720"/>
      <c r="CE375" s="719"/>
      <c r="CF375" s="720"/>
      <c r="CG375" s="720"/>
      <c r="CH375" s="720"/>
      <c r="CI375" s="720"/>
      <c r="CJ375" s="719"/>
      <c r="CK375" s="720"/>
      <c r="CL375" s="720"/>
      <c r="CM375" s="720"/>
      <c r="CN375" s="720"/>
      <c r="CO375" s="719"/>
      <c r="CP375" s="720"/>
      <c r="CQ375" s="720"/>
      <c r="CR375" s="720"/>
      <c r="CS375" s="720"/>
      <c r="CT375" s="719"/>
      <c r="CU375" s="720"/>
      <c r="CV375" s="720"/>
      <c r="CW375" s="720"/>
      <c r="CX375" s="720"/>
      <c r="CY375" s="719"/>
      <c r="CZ375" s="720"/>
      <c r="DA375" s="720"/>
      <c r="DB375" s="720"/>
      <c r="DC375" s="720"/>
      <c r="DD375" s="719"/>
      <c r="DE375" s="720"/>
      <c r="DF375" s="720"/>
      <c r="DG375" s="720"/>
      <c r="DH375" s="720"/>
      <c r="DI375" s="719"/>
      <c r="DJ375" s="720"/>
      <c r="DK375" s="720"/>
      <c r="DL375" s="720"/>
      <c r="DM375" s="720"/>
      <c r="DN375" s="719"/>
      <c r="DO375" s="720"/>
      <c r="DP375" s="720"/>
      <c r="DQ375" s="720"/>
      <c r="DR375" s="720"/>
      <c r="DS375" s="719"/>
    </row>
    <row r="376" s="490" customFormat="1" spans="1:123">
      <c r="B376" s="718" t="s">
        <v>266</v>
      </c>
      <c r="C376" s="719"/>
      <c r="D376" s="720"/>
      <c r="E376" s="720"/>
      <c r="F376" s="720"/>
      <c r="G376" s="720"/>
      <c r="H376" s="719"/>
      <c r="I376" s="720"/>
      <c r="J376" s="720"/>
      <c r="K376" s="720"/>
      <c r="L376" s="720"/>
      <c r="M376" s="719">
        <f>M333/M374</f>
        <v>0.152362945132157</v>
      </c>
      <c r="N376" s="720"/>
      <c r="O376" s="720"/>
      <c r="P376" s="720"/>
      <c r="Q376" s="720"/>
      <c r="R376" s="719">
        <f>R333/R374</f>
        <v>0.271279151698365</v>
      </c>
      <c r="S376" s="720"/>
      <c r="T376" s="720"/>
      <c r="U376" s="720"/>
      <c r="V376" s="720"/>
      <c r="W376" s="719">
        <f>W333/W374</f>
        <v>0.22971618033066</v>
      </c>
      <c r="X376" s="720"/>
      <c r="Y376" s="720"/>
      <c r="Z376" s="720"/>
      <c r="AA376" s="720"/>
      <c r="AB376" s="719">
        <f>AB333/AB374</f>
        <v>0.225153715402375</v>
      </c>
      <c r="AC376" s="720"/>
      <c r="AD376" s="720"/>
      <c r="AE376" s="720"/>
      <c r="AF376" s="720"/>
      <c r="AG376" s="719">
        <f>AG333/AG374</f>
        <v>0.303007835746876</v>
      </c>
      <c r="AH376" s="720"/>
      <c r="AI376" s="720"/>
      <c r="AJ376" s="720"/>
      <c r="AK376" s="720"/>
      <c r="AL376" s="719">
        <f>AL333/AL374</f>
        <v>0.299795127137874</v>
      </c>
      <c r="AM376" s="720"/>
      <c r="AN376" s="720"/>
      <c r="AO376" s="720"/>
      <c r="AP376" s="720"/>
      <c r="AQ376" s="719">
        <f>AQ333/AQ374</f>
        <v>0.30400310912398</v>
      </c>
      <c r="AR376" s="720"/>
      <c r="AS376" s="720"/>
      <c r="AT376" s="720"/>
      <c r="AU376" s="720"/>
      <c r="AV376" s="719">
        <f>AV333/AV374</f>
        <v>0.243003417122819</v>
      </c>
      <c r="AW376" s="720"/>
      <c r="AX376" s="720"/>
      <c r="AY376" s="720"/>
      <c r="AZ376" s="720"/>
      <c r="BA376" s="719">
        <f>BA333/BA374</f>
        <v>0.214252635903753</v>
      </c>
      <c r="BB376" s="720"/>
      <c r="BC376" s="720"/>
      <c r="BD376" s="720"/>
      <c r="BE376" s="720"/>
      <c r="BF376" s="719">
        <f>BF333/BF374</f>
        <v>0.200698006734884</v>
      </c>
      <c r="BG376" s="720"/>
      <c r="BH376" s="720"/>
      <c r="BI376" s="720"/>
      <c r="BJ376" s="720"/>
      <c r="BK376" s="719">
        <f>BK333/BK374</f>
        <v>0.198209382228806</v>
      </c>
      <c r="BL376" s="720"/>
      <c r="BM376" s="720"/>
      <c r="BN376" s="720"/>
      <c r="BO376" s="720"/>
      <c r="BP376" s="719">
        <f>BP333/BP374</f>
        <v>0.192797968503489</v>
      </c>
      <c r="BQ376" s="720"/>
      <c r="BR376" s="720"/>
      <c r="BS376" s="720"/>
      <c r="BT376" s="720"/>
      <c r="BU376" s="719">
        <f>BU333/BU374</f>
        <v>0.252243219401282</v>
      </c>
      <c r="BV376" s="720"/>
      <c r="BW376" s="720"/>
      <c r="BX376" s="720"/>
      <c r="BY376" s="720"/>
      <c r="BZ376" s="719">
        <f>BZ333/BZ374</f>
        <v>0.240621759147532</v>
      </c>
      <c r="CA376" s="720"/>
      <c r="CB376" s="720"/>
      <c r="CC376" s="720"/>
      <c r="CD376" s="720"/>
      <c r="CE376" s="719">
        <f>CE333/CE374</f>
        <v>0.164353667661814</v>
      </c>
      <c r="CF376" s="720"/>
      <c r="CG376" s="720"/>
      <c r="CH376" s="720"/>
      <c r="CI376" s="720"/>
      <c r="CJ376" s="719">
        <f>CJ333/CJ374</f>
        <v>0.222465632882263</v>
      </c>
      <c r="CK376" s="720"/>
      <c r="CL376" s="720"/>
      <c r="CM376" s="720"/>
      <c r="CN376" s="720"/>
      <c r="CO376" s="719">
        <f>CO333/CO374</f>
        <v>0.24436211102007</v>
      </c>
      <c r="CP376" s="720"/>
      <c r="CQ376" s="720"/>
      <c r="CR376" s="720"/>
      <c r="CS376" s="720"/>
      <c r="CT376" s="719">
        <f>CT333/CT374</f>
        <v>0.255503218014614</v>
      </c>
      <c r="CU376" s="720"/>
      <c r="CV376" s="720"/>
      <c r="CW376" s="720"/>
      <c r="CX376" s="720"/>
      <c r="CY376" s="719">
        <f>CY333/CY374</f>
        <v>0.246966618358484</v>
      </c>
      <c r="CZ376" s="720"/>
      <c r="DA376" s="720"/>
      <c r="DB376" s="720"/>
      <c r="DC376" s="720"/>
      <c r="DD376" s="719">
        <f>DD333/DD374</f>
        <v>0.196659969919119</v>
      </c>
      <c r="DE376" s="720"/>
      <c r="DF376" s="720"/>
      <c r="DG376" s="720"/>
      <c r="DH376" s="720"/>
      <c r="DI376" s="719">
        <f>DI333/DI374</f>
        <v>0.12739376286022</v>
      </c>
      <c r="DJ376" s="720"/>
      <c r="DK376" s="720"/>
      <c r="DL376" s="720"/>
      <c r="DM376" s="720"/>
      <c r="DN376" s="719">
        <f>DN333/DN374</f>
        <v>0.102289577378087</v>
      </c>
      <c r="DO376" s="720"/>
      <c r="DP376" s="720"/>
      <c r="DQ376" s="720"/>
      <c r="DR376" s="720"/>
      <c r="DS376" s="719">
        <f>DS333/DS374</f>
        <v>0.0953412277246108</v>
      </c>
    </row>
    <row r="377" s="490" customFormat="1" spans="1:123">
      <c r="B377" s="718"/>
      <c r="C377" s="719"/>
      <c r="D377" s="720"/>
      <c r="E377" s="720"/>
      <c r="F377" s="720"/>
      <c r="G377" s="720"/>
      <c r="H377" s="719"/>
      <c r="I377" s="720"/>
      <c r="J377" s="720"/>
      <c r="K377" s="720"/>
      <c r="L377" s="720"/>
      <c r="M377" s="719"/>
      <c r="N377" s="720"/>
      <c r="O377" s="720"/>
      <c r="P377" s="720"/>
      <c r="Q377" s="720"/>
      <c r="R377" s="719"/>
      <c r="S377" s="720"/>
      <c r="T377" s="720"/>
      <c r="U377" s="720"/>
      <c r="V377" s="720"/>
      <c r="W377" s="719"/>
      <c r="X377" s="720"/>
      <c r="Y377" s="720"/>
      <c r="Z377" s="720"/>
      <c r="AA377" s="720"/>
      <c r="AB377" s="719"/>
      <c r="AC377" s="720"/>
      <c r="AD377" s="720"/>
      <c r="AE377" s="720"/>
      <c r="AF377" s="720"/>
      <c r="AG377" s="719"/>
      <c r="AH377" s="720"/>
      <c r="AI377" s="720"/>
      <c r="AJ377" s="720"/>
      <c r="AK377" s="720"/>
      <c r="AL377" s="719"/>
      <c r="AM377" s="720"/>
      <c r="AN377" s="720"/>
      <c r="AO377" s="720"/>
      <c r="AP377" s="720"/>
      <c r="AQ377" s="719"/>
      <c r="AR377" s="720"/>
      <c r="AS377" s="720"/>
      <c r="AT377" s="720"/>
      <c r="AU377" s="720"/>
      <c r="AV377" s="719"/>
      <c r="AW377" s="720"/>
      <c r="AX377" s="720"/>
      <c r="AY377" s="720"/>
      <c r="AZ377" s="720"/>
      <c r="BA377" s="719"/>
      <c r="BB377" s="720"/>
      <c r="BC377" s="720"/>
      <c r="BD377" s="720"/>
      <c r="BE377" s="720"/>
      <c r="BF377" s="719"/>
      <c r="BG377" s="720"/>
      <c r="BH377" s="720"/>
      <c r="BI377" s="720"/>
      <c r="BJ377" s="720"/>
      <c r="BK377" s="719"/>
      <c r="BL377" s="720"/>
      <c r="BM377" s="720"/>
      <c r="BN377" s="720"/>
      <c r="BO377" s="720"/>
      <c r="BP377" s="719"/>
      <c r="BQ377" s="720"/>
      <c r="BR377" s="720"/>
      <c r="BS377" s="720"/>
      <c r="BT377" s="720"/>
      <c r="BU377" s="719"/>
      <c r="BV377" s="720"/>
      <c r="BW377" s="720"/>
      <c r="BX377" s="720"/>
      <c r="BY377" s="720"/>
      <c r="BZ377" s="719"/>
      <c r="CA377" s="720"/>
      <c r="CB377" s="720"/>
      <c r="CC377" s="720"/>
      <c r="CD377" s="720"/>
      <c r="CE377" s="719"/>
      <c r="CF377" s="720"/>
      <c r="CG377" s="720"/>
      <c r="CH377" s="720"/>
      <c r="CI377" s="720"/>
      <c r="CJ377" s="719"/>
      <c r="CK377" s="720"/>
      <c r="CL377" s="720"/>
      <c r="CM377" s="720"/>
      <c r="CN377" s="720"/>
      <c r="CO377" s="719"/>
      <c r="CP377" s="720"/>
      <c r="CQ377" s="720"/>
      <c r="CR377" s="720"/>
      <c r="CS377" s="720"/>
      <c r="CT377" s="719"/>
      <c r="CU377" s="720"/>
      <c r="CV377" s="720"/>
      <c r="CW377" s="720"/>
      <c r="CX377" s="720"/>
      <c r="CY377" s="719"/>
      <c r="CZ377" s="720"/>
      <c r="DA377" s="720"/>
      <c r="DB377" s="720"/>
      <c r="DC377" s="720"/>
      <c r="DD377" s="719"/>
      <c r="DE377" s="720"/>
      <c r="DF377" s="720"/>
      <c r="DG377" s="720"/>
      <c r="DH377" s="720"/>
      <c r="DI377" s="719"/>
      <c r="DJ377" s="720"/>
      <c r="DK377" s="720"/>
      <c r="DL377" s="720"/>
      <c r="DM377" s="720"/>
      <c r="DN377" s="719"/>
      <c r="DO377" s="720"/>
      <c r="DP377" s="720"/>
      <c r="DQ377" s="720"/>
      <c r="DR377" s="720"/>
      <c r="DS377" s="719"/>
    </row>
    <row r="378" s="490" customFormat="1" spans="1:123">
      <c r="B378" s="718" t="s">
        <v>267</v>
      </c>
      <c r="C378" s="719"/>
      <c r="D378" s="724"/>
      <c r="E378" s="724"/>
      <c r="F378" s="724"/>
      <c r="G378" s="724"/>
      <c r="H378" s="719"/>
      <c r="I378" s="724"/>
      <c r="J378" s="724"/>
      <c r="K378" s="724"/>
      <c r="L378" s="724"/>
      <c r="M378" s="719">
        <f>M333/AVERAGE(H206,M206)</f>
        <v>0.29468018206471</v>
      </c>
      <c r="N378" s="724"/>
      <c r="O378" s="724"/>
      <c r="P378" s="724"/>
      <c r="Q378" s="724"/>
      <c r="R378" s="719">
        <f>R333/AVERAGE(M206,R206)</f>
        <v>0.4128486656435</v>
      </c>
      <c r="S378" s="724"/>
      <c r="T378" s="724"/>
      <c r="U378" s="724"/>
      <c r="V378" s="724"/>
      <c r="W378" s="719">
        <f>W333/AVERAGE(R206,W206)</f>
        <v>0.315664897401849</v>
      </c>
      <c r="X378" s="724"/>
      <c r="Y378" s="724"/>
      <c r="Z378" s="724"/>
      <c r="AA378" s="724"/>
      <c r="AB378" s="719">
        <f>AB333/AVERAGE(W206,AB206)</f>
        <v>0.30114940585127</v>
      </c>
      <c r="AC378" s="724"/>
      <c r="AD378" s="724"/>
      <c r="AE378" s="724"/>
      <c r="AF378" s="724"/>
      <c r="AG378" s="719">
        <f>AG333/AVERAGE(AB206,AG206)</f>
        <v>0.391973016710586</v>
      </c>
      <c r="AH378" s="724"/>
      <c r="AI378" s="724"/>
      <c r="AJ378" s="724"/>
      <c r="AK378" s="724"/>
      <c r="AL378" s="719">
        <f>AL333/AVERAGE(AG206,AL206)</f>
        <v>0.372999652135334</v>
      </c>
      <c r="AM378" s="724"/>
      <c r="AN378" s="724"/>
      <c r="AO378" s="724"/>
      <c r="AP378" s="724"/>
      <c r="AQ378" s="719">
        <f>AQ333/AVERAGE(AL206,AQ206)</f>
        <v>0.364661191999597</v>
      </c>
      <c r="AR378" s="724"/>
      <c r="AS378" s="724"/>
      <c r="AT378" s="724"/>
      <c r="AU378" s="724"/>
      <c r="AV378" s="719">
        <f>AV333/AVERAGE(AQ206,AV206)</f>
        <v>0.281804110019199</v>
      </c>
      <c r="AW378" s="724"/>
      <c r="AX378" s="724"/>
      <c r="AY378" s="724"/>
      <c r="AZ378" s="724"/>
      <c r="BA378" s="719">
        <f>BA333/AVERAGE(AV206,BA206)</f>
        <v>0.249498456260721</v>
      </c>
      <c r="BB378" s="724"/>
      <c r="BC378" s="724"/>
      <c r="BD378" s="724"/>
      <c r="BE378" s="724"/>
      <c r="BF378" s="719">
        <f>BF333/AVERAGE(BA206,BF206)</f>
        <v>0.247457547058407</v>
      </c>
      <c r="BG378" s="724"/>
      <c r="BH378" s="724"/>
      <c r="BI378" s="724"/>
      <c r="BJ378" s="724"/>
      <c r="BK378" s="719">
        <f>BK333/AVERAGE(BF206,BK206)</f>
        <v>0.246707296263176</v>
      </c>
      <c r="BL378" s="724"/>
      <c r="BM378" s="724"/>
      <c r="BN378" s="724"/>
      <c r="BO378" s="724"/>
      <c r="BP378" s="719">
        <f>BP333/AVERAGE(BK206,BP206)</f>
        <v>0.238380105332113</v>
      </c>
      <c r="BQ378" s="724"/>
      <c r="BR378" s="724"/>
      <c r="BS378" s="724"/>
      <c r="BT378" s="724"/>
      <c r="BU378" s="719">
        <f>BU333/AVERAGE(BP206,BU206)</f>
        <v>0.338475189249853</v>
      </c>
      <c r="BV378" s="724"/>
      <c r="BW378" s="724"/>
      <c r="BX378" s="724"/>
      <c r="BY378" s="724"/>
      <c r="BZ378" s="719">
        <f>BZ333/AVERAGE(BU206,BZ206)</f>
        <v>0.379964292787372</v>
      </c>
      <c r="CA378" s="724"/>
      <c r="CB378" s="724"/>
      <c r="CC378" s="724"/>
      <c r="CD378" s="724"/>
      <c r="CE378" s="719">
        <f>CE333/AVERAGE(BZ206,CE206)</f>
        <v>0.272049825484883</v>
      </c>
      <c r="CF378" s="724"/>
      <c r="CG378" s="724"/>
      <c r="CH378" s="724"/>
      <c r="CI378" s="724"/>
      <c r="CJ378" s="719">
        <f>CJ333/AVERAGE(CE206,CJ206)</f>
        <v>0.383232061528566</v>
      </c>
      <c r="CK378" s="724"/>
      <c r="CL378" s="724"/>
      <c r="CM378" s="724"/>
      <c r="CN378" s="724"/>
      <c r="CO378" s="719">
        <f>CO333/AVERAGE(CJ206,CO206)</f>
        <v>0.437760205948705</v>
      </c>
      <c r="CP378" s="724"/>
      <c r="CQ378" s="724"/>
      <c r="CR378" s="724"/>
      <c r="CS378" s="724"/>
      <c r="CT378" s="719">
        <f>CT333/AVERAGE(CO206,CT206)</f>
        <v>0.439599343167752</v>
      </c>
      <c r="CU378" s="724"/>
      <c r="CV378" s="724"/>
      <c r="CW378" s="724"/>
      <c r="CX378" s="724"/>
      <c r="CY378" s="719">
        <f>CY333/AVERAGE(CT206,CY206)</f>
        <v>0.424167567385621</v>
      </c>
      <c r="CZ378" s="724"/>
      <c r="DA378" s="724"/>
      <c r="DB378" s="724"/>
      <c r="DC378" s="724"/>
      <c r="DD378" s="719">
        <f>DD333/AVERAGE(CY206,DD206)</f>
        <v>0.340125396744544</v>
      </c>
      <c r="DE378" s="724"/>
      <c r="DF378" s="724"/>
      <c r="DG378" s="724"/>
      <c r="DH378" s="724"/>
      <c r="DI378" s="719">
        <f>DI333/AVERAGE(DD206,DI206)</f>
        <v>0.221040434464876</v>
      </c>
      <c r="DJ378" s="724"/>
      <c r="DK378" s="724"/>
      <c r="DL378" s="724"/>
      <c r="DM378" s="724"/>
      <c r="DN378" s="719">
        <f>DN333/AVERAGE(DI206,DN206)</f>
        <v>0.178224891624041</v>
      </c>
      <c r="DO378" s="724"/>
      <c r="DP378" s="724"/>
      <c r="DQ378" s="724"/>
      <c r="DR378" s="724"/>
      <c r="DS378" s="719">
        <f>DS333/AVERAGE(DN206,DS206)</f>
        <v>0.162192076092314</v>
      </c>
    </row>
    <row r="379" ht="16.8" spans="1:123">
      <c r="A379" s="132"/>
      <c r="B379" s="705" t="s">
        <v>268</v>
      </c>
      <c r="C379" s="706"/>
      <c r="D379" s="707"/>
      <c r="E379" s="707"/>
      <c r="F379" s="707"/>
      <c r="G379" s="707"/>
      <c r="H379" s="707"/>
      <c r="I379" s="707"/>
      <c r="J379" s="707"/>
      <c r="K379" s="707"/>
      <c r="L379" s="707"/>
      <c r="M379" s="707"/>
      <c r="N379" s="707"/>
      <c r="O379" s="707"/>
      <c r="P379" s="707"/>
      <c r="Q379" s="707"/>
      <c r="R379" s="707"/>
      <c r="S379" s="707"/>
      <c r="T379" s="707"/>
      <c r="U379" s="707"/>
      <c r="V379" s="707"/>
      <c r="W379" s="707"/>
      <c r="X379" s="707"/>
      <c r="Y379" s="707"/>
      <c r="Z379" s="707"/>
      <c r="AA379" s="707"/>
      <c r="AB379" s="707"/>
      <c r="AC379" s="707"/>
      <c r="AD379" s="707"/>
      <c r="AE379" s="707"/>
      <c r="AF379" s="707"/>
      <c r="AG379" s="707"/>
      <c r="AH379" s="707"/>
      <c r="AI379" s="707"/>
      <c r="AJ379" s="707"/>
      <c r="AK379" s="707"/>
      <c r="AL379" s="707"/>
      <c r="AM379" s="707"/>
      <c r="AN379" s="707"/>
      <c r="AO379" s="707"/>
      <c r="AP379" s="707"/>
      <c r="AQ379" s="707"/>
      <c r="AR379" s="707"/>
      <c r="AS379" s="707"/>
      <c r="AT379" s="707"/>
      <c r="AU379" s="707"/>
      <c r="AV379" s="707"/>
      <c r="AW379" s="707"/>
      <c r="AX379" s="707"/>
      <c r="AY379" s="707"/>
      <c r="AZ379" s="707"/>
      <c r="BA379" s="707"/>
      <c r="BB379" s="707"/>
      <c r="BC379" s="707"/>
      <c r="BD379" s="707"/>
      <c r="BE379" s="707"/>
      <c r="BF379" s="707"/>
      <c r="BG379" s="707"/>
      <c r="BH379" s="707"/>
      <c r="BI379" s="707"/>
      <c r="BJ379" s="707"/>
      <c r="BK379" s="707"/>
      <c r="BL379" s="707"/>
      <c r="BM379" s="707"/>
      <c r="BN379" s="707"/>
      <c r="BO379" s="707"/>
      <c r="BP379" s="707"/>
      <c r="BQ379" s="707"/>
      <c r="BR379" s="707"/>
      <c r="BS379" s="707"/>
      <c r="BT379" s="707"/>
      <c r="BU379" s="707"/>
      <c r="BV379" s="707"/>
      <c r="BW379" s="707"/>
      <c r="BX379" s="707"/>
      <c r="BY379" s="707"/>
      <c r="BZ379" s="707"/>
      <c r="CA379" s="707"/>
      <c r="CB379" s="707"/>
      <c r="CC379" s="707"/>
      <c r="CD379" s="707"/>
      <c r="CE379" s="707"/>
      <c r="CF379" s="707"/>
      <c r="CG379" s="707"/>
      <c r="CH379" s="707"/>
      <c r="CI379" s="707"/>
      <c r="CJ379" s="707"/>
      <c r="CK379" s="707"/>
      <c r="CL379" s="707"/>
      <c r="CM379" s="707"/>
      <c r="CN379" s="707"/>
      <c r="CO379" s="707"/>
      <c r="CP379" s="707"/>
      <c r="CQ379" s="707"/>
      <c r="CR379" s="707"/>
      <c r="CS379" s="707"/>
      <c r="CT379" s="707"/>
      <c r="CU379" s="707"/>
      <c r="CV379" s="707"/>
      <c r="CW379" s="707"/>
      <c r="CX379" s="707"/>
      <c r="CY379" s="707"/>
      <c r="CZ379" s="707"/>
      <c r="DA379" s="707"/>
      <c r="DB379" s="707"/>
      <c r="DC379" s="707"/>
      <c r="DD379" s="707"/>
      <c r="DE379" s="707"/>
      <c r="DF379" s="707"/>
      <c r="DG379" s="707"/>
      <c r="DH379" s="707"/>
      <c r="DI379" s="707"/>
      <c r="DJ379" s="707"/>
      <c r="DK379" s="707"/>
      <c r="DL379" s="707"/>
      <c r="DM379" s="707"/>
      <c r="DN379" s="707"/>
      <c r="DO379" s="707"/>
      <c r="DP379" s="707"/>
      <c r="DQ379" s="707"/>
      <c r="DR379" s="707"/>
      <c r="DS379" s="708"/>
    </row>
    <row r="380" spans="1:123">
      <c r="A380" s="132"/>
      <c r="B380" s="38"/>
      <c r="C380" s="131"/>
      <c r="D380" s="132"/>
      <c r="E380" s="132"/>
      <c r="F380" s="132"/>
      <c r="G380" s="132"/>
      <c r="H380" s="131"/>
      <c r="I380" s="132"/>
      <c r="J380" s="132"/>
      <c r="K380" s="132"/>
      <c r="L380" s="132"/>
      <c r="M380" s="131"/>
      <c r="N380" s="190"/>
      <c r="O380" s="190"/>
      <c r="P380" s="190"/>
      <c r="Q380" s="190"/>
      <c r="R380" s="131"/>
      <c r="S380" s="190"/>
      <c r="T380" s="190"/>
      <c r="U380" s="190"/>
      <c r="V380" s="190"/>
      <c r="W380" s="131"/>
      <c r="X380" s="190"/>
      <c r="Y380" s="190"/>
      <c r="Z380" s="190"/>
      <c r="AA380" s="190"/>
      <c r="AB380" s="131"/>
      <c r="AC380" s="190"/>
      <c r="AD380" s="190"/>
      <c r="AE380" s="190"/>
      <c r="AF380" s="190"/>
      <c r="AG380" s="131"/>
      <c r="AH380" s="132"/>
      <c r="AI380" s="132"/>
      <c r="AJ380" s="132"/>
      <c r="AK380" s="132"/>
      <c r="AL380" s="131"/>
      <c r="AM380" s="132"/>
      <c r="AN380" s="132"/>
      <c r="AO380" s="132"/>
      <c r="AP380" s="132"/>
      <c r="AQ380" s="131"/>
      <c r="AR380" s="132"/>
      <c r="AS380" s="132"/>
      <c r="AT380" s="132"/>
      <c r="AU380" s="132"/>
      <c r="AV380" s="131"/>
      <c r="AW380" s="132"/>
      <c r="AX380" s="132"/>
      <c r="AY380" s="132"/>
      <c r="AZ380" s="132"/>
      <c r="BA380" s="131"/>
      <c r="BB380" s="132"/>
      <c r="BC380" s="132"/>
      <c r="BD380" s="132"/>
      <c r="BE380" s="132"/>
      <c r="BF380" s="131"/>
      <c r="BG380" s="132"/>
      <c r="BH380" s="132"/>
      <c r="BI380" s="132"/>
      <c r="BJ380" s="132"/>
      <c r="BK380" s="131"/>
      <c r="BL380" s="132"/>
      <c r="BM380" s="132"/>
      <c r="BN380" s="132"/>
      <c r="BO380" s="132"/>
      <c r="BP380" s="131"/>
      <c r="BQ380" s="190"/>
      <c r="BR380" s="190"/>
      <c r="BS380" s="190"/>
      <c r="BT380" s="190"/>
      <c r="BU380" s="131"/>
      <c r="BV380" s="190"/>
      <c r="BW380" s="190"/>
      <c r="BX380" s="190"/>
      <c r="BY380" s="190"/>
      <c r="BZ380" s="131"/>
      <c r="CA380" s="190"/>
      <c r="CB380" s="190"/>
      <c r="CC380" s="190"/>
      <c r="CD380" s="190"/>
      <c r="CE380" s="131"/>
      <c r="CF380" s="190"/>
      <c r="CG380" s="190"/>
      <c r="CH380" s="190"/>
      <c r="CI380" s="190"/>
      <c r="CJ380" s="131"/>
      <c r="CK380" s="190"/>
      <c r="CL380" s="190"/>
      <c r="CM380" s="190"/>
      <c r="CN380" s="190"/>
      <c r="CO380" s="131"/>
      <c r="CP380" s="190"/>
      <c r="CQ380" s="190"/>
      <c r="CR380" s="190"/>
      <c r="CS380" s="190"/>
      <c r="CT380" s="131"/>
      <c r="CU380" s="190"/>
      <c r="CV380" s="190"/>
      <c r="CW380" s="190"/>
      <c r="CX380" s="190"/>
      <c r="CY380" s="131"/>
      <c r="CZ380" s="190"/>
      <c r="DA380" s="190"/>
      <c r="DB380" s="190"/>
      <c r="DC380" s="190"/>
      <c r="DD380" s="131"/>
      <c r="DE380" s="190"/>
      <c r="DF380" s="190"/>
      <c r="DG380" s="190"/>
      <c r="DH380" s="190"/>
      <c r="DI380" s="131"/>
      <c r="DJ380" s="190"/>
      <c r="DK380" s="190"/>
      <c r="DL380" s="190"/>
      <c r="DM380" s="190"/>
      <c r="DN380" s="131"/>
      <c r="DO380" s="190"/>
      <c r="DP380" s="190"/>
      <c r="DQ380" s="190"/>
      <c r="DR380" s="190"/>
      <c r="DS380" s="131"/>
    </row>
    <row r="381" spans="1:123">
      <c r="A381" s="132"/>
      <c r="B381" s="33" t="s">
        <v>269</v>
      </c>
      <c r="C381" s="131"/>
      <c r="D381" s="132"/>
      <c r="E381" s="132"/>
      <c r="F381" s="132"/>
      <c r="G381" s="132"/>
      <c r="H381" s="131"/>
      <c r="I381" s="132"/>
      <c r="J381" s="132"/>
      <c r="K381" s="132"/>
      <c r="L381" s="132"/>
      <c r="M381" s="131"/>
      <c r="N381" s="132"/>
      <c r="O381" s="132"/>
      <c r="P381" s="132"/>
      <c r="Q381" s="132"/>
      <c r="R381" s="131"/>
      <c r="S381" s="132"/>
      <c r="T381" s="132"/>
      <c r="U381" s="132"/>
      <c r="V381" s="132"/>
      <c r="W381" s="131"/>
      <c r="X381" s="132"/>
      <c r="Y381" s="132"/>
      <c r="Z381" s="132"/>
      <c r="AA381" s="132"/>
      <c r="AB381" s="131"/>
      <c r="AC381" s="132"/>
      <c r="AD381" s="132"/>
      <c r="AE381" s="132"/>
      <c r="AF381" s="132"/>
      <c r="AG381" s="124">
        <f t="shared" ref="AG381:BY381" si="672">AG68</f>
        <v>142.392</v>
      </c>
      <c r="AH381" s="125">
        <f t="shared" si="672"/>
        <v>143.068</v>
      </c>
      <c r="AI381" s="125">
        <f t="shared" si="672"/>
        <v>143.298</v>
      </c>
      <c r="AJ381" s="125">
        <f t="shared" si="672"/>
        <v>143.484</v>
      </c>
      <c r="AK381" s="125">
        <f t="shared" si="672"/>
        <v>143.547</v>
      </c>
      <c r="AL381" s="124">
        <f t="shared" si="672"/>
        <v>143.547</v>
      </c>
      <c r="AM381" s="125">
        <f t="shared" si="672"/>
        <v>143.919</v>
      </c>
      <c r="AN381" s="125">
        <f t="shared" si="672"/>
        <v>144.012</v>
      </c>
      <c r="AO381" s="125">
        <f t="shared" si="672"/>
        <v>144.156</v>
      </c>
      <c r="AP381" s="125">
        <f t="shared" si="672"/>
        <v>144.436</v>
      </c>
      <c r="AQ381" s="124">
        <f t="shared" si="672"/>
        <v>144.436</v>
      </c>
      <c r="AR381" s="125">
        <f t="shared" si="672"/>
        <v>144.55</v>
      </c>
      <c r="AS381" s="125">
        <f t="shared" si="672"/>
        <v>145.039</v>
      </c>
      <c r="AT381" s="125">
        <f t="shared" si="672"/>
        <v>145.206</v>
      </c>
      <c r="AU381" s="125">
        <f t="shared" si="672"/>
        <v>145.297</v>
      </c>
      <c r="AV381" s="124">
        <f t="shared" si="672"/>
        <v>145.297</v>
      </c>
      <c r="AW381" s="125">
        <f t="shared" si="672"/>
        <v>145.458</v>
      </c>
      <c r="AX381" s="125">
        <f t="shared" si="672"/>
        <v>144.123</v>
      </c>
      <c r="AY381" s="125">
        <f t="shared" si="672"/>
        <v>142.311</v>
      </c>
      <c r="AZ381" s="125">
        <f t="shared" si="672"/>
        <v>141.945</v>
      </c>
      <c r="BA381" s="124">
        <f t="shared" si="672"/>
        <v>141.945</v>
      </c>
      <c r="BB381" s="125">
        <f t="shared" si="672"/>
        <v>141.811</v>
      </c>
      <c r="BC381" s="125">
        <f t="shared" si="672"/>
        <v>140.937</v>
      </c>
      <c r="BD381" s="125">
        <f t="shared" si="672"/>
        <v>139.385</v>
      </c>
      <c r="BE381" s="125">
        <f t="shared" si="672"/>
        <v>137.29794</v>
      </c>
      <c r="BF381" s="124">
        <f t="shared" si="672"/>
        <v>144.298</v>
      </c>
      <c r="BG381" s="125">
        <f t="shared" si="672"/>
        <v>136.984974</v>
      </c>
      <c r="BH381" s="125">
        <f t="shared" si="672"/>
        <v>137.046944</v>
      </c>
      <c r="BI381" s="125">
        <f t="shared" si="672"/>
        <v>137.080159</v>
      </c>
      <c r="BJ381" s="125">
        <f t="shared" si="672"/>
        <v>137.053722</v>
      </c>
      <c r="BK381" s="124">
        <f t="shared" si="672"/>
        <v>137.1117435</v>
      </c>
      <c r="BL381" s="125">
        <f t="shared" si="672"/>
        <v>136.912</v>
      </c>
      <c r="BM381" s="125">
        <f t="shared" si="672"/>
        <v>135.478</v>
      </c>
      <c r="BN381" s="125">
        <f t="shared" si="672"/>
        <v>135.373</v>
      </c>
      <c r="BO381" s="125">
        <f t="shared" si="672"/>
        <v>135.456009</v>
      </c>
      <c r="BP381" s="124">
        <f t="shared" si="672"/>
        <v>135.456009</v>
      </c>
      <c r="BQ381" s="125">
        <f t="shared" si="672"/>
        <v>135.690888</v>
      </c>
      <c r="BR381" s="125">
        <f t="shared" si="672"/>
        <v>132.370974</v>
      </c>
      <c r="BS381" s="125">
        <f t="shared" si="672"/>
        <v>132.403995</v>
      </c>
      <c r="BT381" s="125">
        <f t="shared" si="672"/>
        <v>130.951116</v>
      </c>
      <c r="BU381" s="124">
        <f t="shared" si="672"/>
        <v>130.951116</v>
      </c>
      <c r="BV381" s="125">
        <f t="shared" si="672"/>
        <v>130.275563</v>
      </c>
      <c r="BW381" s="125">
        <f t="shared" si="672"/>
        <v>130.275632</v>
      </c>
      <c r="BX381" s="125">
        <f t="shared" si="672"/>
        <v>130.294907</v>
      </c>
      <c r="BY381" s="125">
        <f t="shared" si="672"/>
        <v>130.165083</v>
      </c>
      <c r="BZ381" s="124">
        <f>BY381</f>
        <v>130.165083</v>
      </c>
      <c r="CA381" s="125">
        <f>CA68</f>
        <v>130.207015</v>
      </c>
      <c r="CB381" s="125">
        <f>CB68</f>
        <v>130.313305</v>
      </c>
      <c r="CC381" s="125">
        <f>CC68</f>
        <v>130.338045</v>
      </c>
      <c r="CD381" s="125">
        <f>CD68</f>
        <v>130.367628</v>
      </c>
      <c r="CE381" s="124">
        <f>CD381</f>
        <v>130.367628</v>
      </c>
      <c r="CF381" s="125">
        <f>CF68</f>
        <v>130.155271</v>
      </c>
      <c r="CG381" s="125">
        <f>CG68</f>
        <v>129.847012</v>
      </c>
      <c r="CH381" s="172">
        <f>CH68</f>
        <v>129.338012</v>
      </c>
      <c r="CI381" s="172">
        <f>CI68</f>
        <v>128.500012</v>
      </c>
      <c r="CJ381" s="124">
        <f>CI381</f>
        <v>128.500012</v>
      </c>
      <c r="CK381" s="125">
        <f>CK68</f>
        <v>127.642807</v>
      </c>
      <c r="CL381" s="125">
        <f>CL68</f>
        <v>127.506364</v>
      </c>
      <c r="CM381" s="172">
        <f>CM68</f>
        <v>127.521</v>
      </c>
      <c r="CN381" s="125">
        <f>CN68</f>
        <v>127.164641</v>
      </c>
      <c r="CO381" s="124">
        <f>CN381</f>
        <v>127.164641</v>
      </c>
      <c r="CP381" s="125">
        <f>CP68</f>
        <v>127.215</v>
      </c>
      <c r="CQ381" s="125">
        <f>CQ68</f>
        <v>126.729</v>
      </c>
      <c r="CR381" s="172">
        <f>CR68</f>
        <v>126.238</v>
      </c>
      <c r="CS381" s="125">
        <f>CS68</f>
        <v>126.222</v>
      </c>
      <c r="CT381" s="124">
        <f>CS381</f>
        <v>126.222</v>
      </c>
      <c r="CU381" s="125">
        <f>CU68</f>
        <v>125.586</v>
      </c>
      <c r="CV381" s="125">
        <f>CV68</f>
        <v>123.726</v>
      </c>
      <c r="CW381" s="172">
        <f>CW68</f>
        <v>122.162</v>
      </c>
      <c r="CX381" s="172">
        <f>CX68</f>
        <v>121.282</v>
      </c>
      <c r="CY381" s="124">
        <f>CX381</f>
        <v>121.282</v>
      </c>
      <c r="CZ381" s="125">
        <f>CZ68</f>
        <v>120.025</v>
      </c>
      <c r="DA381" s="125">
        <f>DA68</f>
        <v>118.944</v>
      </c>
      <c r="DB381" s="172">
        <f>DB68</f>
        <v>117.905</v>
      </c>
      <c r="DC381" s="172">
        <f>DC68</f>
        <v>115.598632</v>
      </c>
      <c r="DD381" s="124">
        <f>DC381</f>
        <v>115.598632</v>
      </c>
      <c r="DE381" s="125">
        <f>DE68</f>
        <v>114.424</v>
      </c>
      <c r="DF381" s="125">
        <f>DF68</f>
        <v>111.682</v>
      </c>
      <c r="DG381" s="125">
        <f>DF381-DG386</f>
        <v>109.207116319533</v>
      </c>
      <c r="DH381" s="125">
        <f>DG381-DH386</f>
        <v>106.957222064563</v>
      </c>
      <c r="DI381" s="124">
        <f>DH381</f>
        <v>106.957222064563</v>
      </c>
      <c r="DJ381" s="125">
        <f>DI381-DJ386</f>
        <v>105.754070056558</v>
      </c>
      <c r="DK381" s="125">
        <f>DJ381-DK386</f>
        <v>104.574509264396</v>
      </c>
      <c r="DL381" s="125">
        <f>DK381-DL386</f>
        <v>103.418077115217</v>
      </c>
      <c r="DM381" s="125">
        <f>DL381-DM386</f>
        <v>102.284320106218</v>
      </c>
      <c r="DN381" s="124">
        <f>DM381</f>
        <v>102.284320106218</v>
      </c>
      <c r="DO381" s="125">
        <f>DN381-DO386</f>
        <v>101.172793626808</v>
      </c>
      <c r="DP381" s="125">
        <f>DO381-DP386</f>
        <v>100.083061784249</v>
      </c>
      <c r="DQ381" s="125">
        <f>DP381-DQ386</f>
        <v>99.0146972327203</v>
      </c>
      <c r="DR381" s="125">
        <f>DQ381-DR386</f>
        <v>97.9672810057314</v>
      </c>
      <c r="DS381" s="124">
        <f>DR381</f>
        <v>97.9672810057314</v>
      </c>
    </row>
    <row r="382" spans="1:123">
      <c r="A382" s="132"/>
      <c r="B382" s="33" t="s">
        <v>270</v>
      </c>
      <c r="C382" s="131"/>
      <c r="D382" s="132"/>
      <c r="E382" s="132"/>
      <c r="F382" s="132"/>
      <c r="G382" s="132"/>
      <c r="H382" s="124">
        <f>H69</f>
        <v>132.86</v>
      </c>
      <c r="I382" s="132"/>
      <c r="J382" s="132"/>
      <c r="K382" s="132"/>
      <c r="L382" s="132"/>
      <c r="M382" s="124">
        <f>M69</f>
        <v>135.033456</v>
      </c>
      <c r="N382" s="132"/>
      <c r="O382" s="132"/>
      <c r="P382" s="132"/>
      <c r="Q382" s="132"/>
      <c r="R382" s="124">
        <f>R69</f>
        <v>132.86</v>
      </c>
      <c r="S382" s="132"/>
      <c r="T382" s="132"/>
      <c r="U382" s="132"/>
      <c r="V382" s="132"/>
      <c r="W382" s="124">
        <f>W69</f>
        <v>137.5</v>
      </c>
      <c r="X382" s="132"/>
      <c r="Y382" s="132"/>
      <c r="Z382" s="132"/>
      <c r="AA382" s="132"/>
      <c r="AB382" s="124">
        <f>AB69</f>
        <v>137.5</v>
      </c>
      <c r="AC382" s="132"/>
      <c r="AD382" s="132"/>
      <c r="AE382" s="132"/>
      <c r="AF382" s="132"/>
      <c r="AG382" s="124">
        <f t="shared" ref="AG382:BY382" si="673">AG69</f>
        <v>141.72</v>
      </c>
      <c r="AH382" s="125">
        <f t="shared" si="673"/>
        <v>142.76</v>
      </c>
      <c r="AI382" s="125">
        <f t="shared" si="673"/>
        <v>143.163</v>
      </c>
      <c r="AJ382" s="125">
        <f t="shared" si="673"/>
        <v>143.37</v>
      </c>
      <c r="AK382" s="125">
        <f t="shared" si="673"/>
        <v>143.196</v>
      </c>
      <c r="AL382" s="124">
        <f t="shared" si="673"/>
        <v>143.196</v>
      </c>
      <c r="AM382" s="125">
        <f t="shared" si="673"/>
        <v>143.678</v>
      </c>
      <c r="AN382" s="125">
        <f t="shared" si="673"/>
        <v>143.972</v>
      </c>
      <c r="AO382" s="125">
        <f t="shared" si="673"/>
        <v>144.057</v>
      </c>
      <c r="AP382" s="125">
        <f t="shared" si="673"/>
        <v>144.285</v>
      </c>
      <c r="AQ382" s="124">
        <f t="shared" si="673"/>
        <v>143.998</v>
      </c>
      <c r="AR382" s="125">
        <f t="shared" si="673"/>
        <v>144.482</v>
      </c>
      <c r="AS382" s="125">
        <f t="shared" si="673"/>
        <v>144.818</v>
      </c>
      <c r="AT382" s="125">
        <f t="shared" si="673"/>
        <v>145.12</v>
      </c>
      <c r="AU382" s="125">
        <f t="shared" si="673"/>
        <v>145.235</v>
      </c>
      <c r="AV382" s="124">
        <f t="shared" si="673"/>
        <v>144.91375</v>
      </c>
      <c r="AW382" s="125">
        <f t="shared" si="673"/>
        <v>145.383</v>
      </c>
      <c r="AX382" s="125">
        <f t="shared" si="673"/>
        <v>145.18</v>
      </c>
      <c r="AY382" s="125">
        <f t="shared" si="673"/>
        <v>143.18</v>
      </c>
      <c r="AZ382" s="125">
        <f t="shared" si="673"/>
        <v>141.999</v>
      </c>
      <c r="BA382" s="124">
        <f t="shared" si="673"/>
        <v>143.935</v>
      </c>
      <c r="BB382" s="125">
        <f t="shared" si="673"/>
        <v>141.967</v>
      </c>
      <c r="BC382" s="125">
        <f t="shared" si="673"/>
        <v>141.372</v>
      </c>
      <c r="BD382" s="125">
        <f t="shared" si="673"/>
        <v>140.282</v>
      </c>
      <c r="BE382" s="125">
        <f t="shared" si="673"/>
        <v>138.076</v>
      </c>
      <c r="BF382" s="124">
        <f t="shared" si="673"/>
        <v>140.42425</v>
      </c>
      <c r="BG382" s="125">
        <f t="shared" si="673"/>
        <v>137.263</v>
      </c>
      <c r="BH382" s="125">
        <f t="shared" si="673"/>
        <v>136.987</v>
      </c>
      <c r="BI382" s="125">
        <f t="shared" si="673"/>
        <v>137.033</v>
      </c>
      <c r="BJ382" s="125">
        <f t="shared" si="673"/>
        <v>137.059</v>
      </c>
      <c r="BK382" s="124">
        <f t="shared" si="673"/>
        <v>137.0855</v>
      </c>
      <c r="BL382" s="125">
        <f t="shared" si="673"/>
        <v>137.037</v>
      </c>
      <c r="BM382" s="125">
        <f t="shared" si="673"/>
        <v>136.171</v>
      </c>
      <c r="BN382" s="125">
        <f t="shared" si="673"/>
        <v>135.364</v>
      </c>
      <c r="BO382" s="125">
        <f t="shared" si="673"/>
        <v>135.381</v>
      </c>
      <c r="BP382" s="124">
        <f t="shared" si="673"/>
        <v>135.988</v>
      </c>
      <c r="BQ382" s="125">
        <f t="shared" si="673"/>
        <v>135.502</v>
      </c>
      <c r="BR382" s="125">
        <f t="shared" si="673"/>
        <v>133.986</v>
      </c>
      <c r="BS382" s="125">
        <f t="shared" si="673"/>
        <v>132.406</v>
      </c>
      <c r="BT382" s="125">
        <f t="shared" si="673"/>
        <v>131.878</v>
      </c>
      <c r="BU382" s="124">
        <f t="shared" si="673"/>
        <v>133.413</v>
      </c>
      <c r="BV382" s="125">
        <f t="shared" si="673"/>
        <v>130.694</v>
      </c>
      <c r="BW382" s="125">
        <f t="shared" si="673"/>
        <v>130.285</v>
      </c>
      <c r="BX382" s="125">
        <f t="shared" si="673"/>
        <v>130.282</v>
      </c>
      <c r="BY382" s="125">
        <f t="shared" si="673"/>
        <v>130.311</v>
      </c>
      <c r="BZ382" s="124">
        <f>AVERAGE(BV382:BY382)</f>
        <v>130.393</v>
      </c>
      <c r="CA382" s="125">
        <f>CA69</f>
        <v>130.251</v>
      </c>
      <c r="CB382" s="125">
        <f>CB69</f>
        <v>130.245</v>
      </c>
      <c r="CC382" s="125">
        <f>CC69</f>
        <v>130.318</v>
      </c>
      <c r="CD382" s="125">
        <f>CD69</f>
        <v>130.34</v>
      </c>
      <c r="CE382" s="124">
        <f>AVERAGE(CA382:CD382)</f>
        <v>130.2885</v>
      </c>
      <c r="CF382" s="125">
        <f>CF69</f>
        <v>130.358</v>
      </c>
      <c r="CG382" s="125">
        <f>CG69</f>
        <v>130.007</v>
      </c>
      <c r="CH382" s="172">
        <f>CH69</f>
        <v>129.684</v>
      </c>
      <c r="CI382" s="172">
        <f>CI69</f>
        <v>129.015</v>
      </c>
      <c r="CJ382" s="124">
        <f>AVERAGE(CF382:CI382)</f>
        <v>129.766</v>
      </c>
      <c r="CK382" s="125">
        <f>CK69</f>
        <v>128.077</v>
      </c>
      <c r="CL382" s="125">
        <f>CL69</f>
        <v>127.619</v>
      </c>
      <c r="CM382" s="172">
        <f>CM69</f>
        <v>127.511</v>
      </c>
      <c r="CN382" s="125">
        <f>CN69</f>
        <v>127.456</v>
      </c>
      <c r="CO382" s="124">
        <f>AVERAGE(CK382:CN382)</f>
        <v>127.66575</v>
      </c>
      <c r="CP382" s="125">
        <f>CP69</f>
        <v>127.246</v>
      </c>
      <c r="CQ382" s="125">
        <f>CQ69</f>
        <v>126.969</v>
      </c>
      <c r="CR382" s="172">
        <f>CR69</f>
        <v>126.46</v>
      </c>
      <c r="CS382" s="125">
        <f>CS69</f>
        <v>126.228</v>
      </c>
      <c r="CT382" s="124">
        <f>AVERAGE(CP382:CS382)</f>
        <v>126.72575</v>
      </c>
      <c r="CU382" s="125">
        <f>CU69</f>
        <v>125.989</v>
      </c>
      <c r="CV382" s="125">
        <f>CV69</f>
        <v>124.721</v>
      </c>
      <c r="CW382" s="172">
        <f>CW69</f>
        <v>122.697</v>
      </c>
      <c r="CX382" s="172">
        <f>CX69</f>
        <v>121.683</v>
      </c>
      <c r="CY382" s="124">
        <f>AVERAGE(CU382:CX382)</f>
        <v>123.7725</v>
      </c>
      <c r="CZ382" s="125">
        <f>CZ69</f>
        <v>120.632</v>
      </c>
      <c r="DA382" s="125">
        <f>DA69</f>
        <v>119.6</v>
      </c>
      <c r="DB382" s="172">
        <f>DB69</f>
        <v>118.535</v>
      </c>
      <c r="DC382" s="172">
        <f>DC69</f>
        <v>117.155</v>
      </c>
      <c r="DD382" s="124">
        <f>AVERAGE(CZ382:DC382)</f>
        <v>118.9805</v>
      </c>
      <c r="DE382" s="125">
        <f>DE69</f>
        <v>115.414</v>
      </c>
      <c r="DF382" s="125">
        <f>DF69</f>
        <v>112.898</v>
      </c>
      <c r="DG382" s="125">
        <f>AVERAGE(DF381,DG381)</f>
        <v>110.444558159767</v>
      </c>
      <c r="DH382" s="125">
        <f>AVERAGE(DG381,DH381)</f>
        <v>108.082169192048</v>
      </c>
      <c r="DI382" s="124">
        <f>AVERAGE(DE382:DH382)</f>
        <v>111.709681837954</v>
      </c>
      <c r="DJ382" s="125">
        <f>AVERAGE(DI381,DJ381)</f>
        <v>106.35564606056</v>
      </c>
      <c r="DK382" s="125">
        <f>AVERAGE(DJ381,DK381)</f>
        <v>105.164289660477</v>
      </c>
      <c r="DL382" s="125">
        <f>AVERAGE(DK381,DL381)</f>
        <v>103.996293189806</v>
      </c>
      <c r="DM382" s="125">
        <f>AVERAGE(DL381,DM381)</f>
        <v>102.851198610718</v>
      </c>
      <c r="DN382" s="124">
        <f>AVERAGE(DJ382:DM382)</f>
        <v>104.59185688039</v>
      </c>
      <c r="DO382" s="125">
        <f>AVERAGE(DN381,DO381)</f>
        <v>101.728556866513</v>
      </c>
      <c r="DP382" s="125">
        <f>AVERAGE(DO381,DP381)</f>
        <v>100.627927705528</v>
      </c>
      <c r="DQ382" s="125">
        <f>AVERAGE(DP381,DQ381)</f>
        <v>99.5488795084846</v>
      </c>
      <c r="DR382" s="125">
        <f>AVERAGE(DQ381,DR381)</f>
        <v>98.4909891192258</v>
      </c>
      <c r="DS382" s="124">
        <f>AVERAGE(DO382:DR382)</f>
        <v>100.099088299938</v>
      </c>
    </row>
    <row r="383" spans="1:123">
      <c r="A383" s="132"/>
      <c r="B383" s="33" t="s">
        <v>271</v>
      </c>
      <c r="C383" s="131"/>
      <c r="D383" s="132"/>
      <c r="E383" s="132"/>
      <c r="F383" s="132"/>
      <c r="G383" s="132"/>
      <c r="H383" s="124">
        <f>H384-H382</f>
        <v>5.73399999999998</v>
      </c>
      <c r="I383" s="132"/>
      <c r="J383" s="132"/>
      <c r="K383" s="132"/>
      <c r="L383" s="132"/>
      <c r="M383" s="124">
        <f>M384-M382</f>
        <v>8.94555600000001</v>
      </c>
      <c r="N383" s="132"/>
      <c r="O383" s="132"/>
      <c r="P383" s="132"/>
      <c r="Q383" s="132"/>
      <c r="R383" s="124">
        <f>R384-R382</f>
        <v>5.73399999999998</v>
      </c>
      <c r="S383" s="132"/>
      <c r="T383" s="132"/>
      <c r="U383" s="132"/>
      <c r="V383" s="132"/>
      <c r="W383" s="124">
        <f>W384-W382</f>
        <v>4.5</v>
      </c>
      <c r="X383" s="132"/>
      <c r="Y383" s="132"/>
      <c r="Z383" s="132"/>
      <c r="AA383" s="132"/>
      <c r="AB383" s="124">
        <f>AB384-AB382</f>
        <v>4.5</v>
      </c>
      <c r="AC383" s="132"/>
      <c r="AD383" s="132"/>
      <c r="AE383" s="132"/>
      <c r="AF383" s="132"/>
      <c r="AG383" s="124">
        <f>AG384-AG382</f>
        <v>2.13800000000001</v>
      </c>
      <c r="AH383" s="125">
        <f t="shared" ref="AH383:BR383" si="674">AH384-AH382</f>
        <v>2.15000000000001</v>
      </c>
      <c r="AI383" s="125">
        <f t="shared" si="674"/>
        <v>2.065</v>
      </c>
      <c r="AJ383" s="125">
        <f t="shared" si="674"/>
        <v>1.97899999999998</v>
      </c>
      <c r="AK383" s="125">
        <f t="shared" si="674"/>
        <v>2.08199999999999</v>
      </c>
      <c r="AL383" s="124">
        <f t="shared" si="674"/>
        <v>2.08199999999999</v>
      </c>
      <c r="AM383" s="125">
        <f t="shared" si="674"/>
        <v>1.959</v>
      </c>
      <c r="AN383" s="125">
        <f t="shared" si="674"/>
        <v>1.70599999999999</v>
      </c>
      <c r="AO383" s="125">
        <f t="shared" si="674"/>
        <v>1.691</v>
      </c>
      <c r="AP383" s="125">
        <f t="shared" si="674"/>
        <v>1.56100000000001</v>
      </c>
      <c r="AQ383" s="124">
        <f t="shared" si="674"/>
        <v>1.72925000000001</v>
      </c>
      <c r="AR383" s="125">
        <f t="shared" si="674"/>
        <v>1.36699999999999</v>
      </c>
      <c r="AS383" s="125">
        <f t="shared" si="674"/>
        <v>1.09799999999998</v>
      </c>
      <c r="AT383" s="125">
        <f t="shared" si="674"/>
        <v>0.894000000000005</v>
      </c>
      <c r="AU383" s="125">
        <f t="shared" si="674"/>
        <v>0.799999999999983</v>
      </c>
      <c r="AV383" s="124">
        <f t="shared" si="674"/>
        <v>1.03975</v>
      </c>
      <c r="AW383" s="125">
        <f t="shared" si="674"/>
        <v>0.47799999999998</v>
      </c>
      <c r="AX383" s="125">
        <f t="shared" si="674"/>
        <v>0.364000000000004</v>
      </c>
      <c r="AY383" s="125">
        <f t="shared" si="674"/>
        <v>0.260999999999996</v>
      </c>
      <c r="AZ383" s="125">
        <f t="shared" si="674"/>
        <v>0.347000000000008</v>
      </c>
      <c r="BA383" s="124">
        <f t="shared" si="674"/>
        <v>0.363</v>
      </c>
      <c r="BB383" s="125">
        <f t="shared" si="674"/>
        <v>0.369999999999976</v>
      </c>
      <c r="BC383" s="125">
        <f t="shared" si="674"/>
        <v>0.271999999999991</v>
      </c>
      <c r="BD383" s="125">
        <f t="shared" si="674"/>
        <v>0.174999999999983</v>
      </c>
      <c r="BE383" s="125">
        <f t="shared" si="674"/>
        <v>0.164000000000016</v>
      </c>
      <c r="BF383" s="124">
        <f t="shared" si="674"/>
        <v>0.245249999999999</v>
      </c>
      <c r="BG383" s="125">
        <f t="shared" si="674"/>
        <v>0.231999999999999</v>
      </c>
      <c r="BH383" s="125">
        <f t="shared" si="674"/>
        <v>0.242000000000019</v>
      </c>
      <c r="BI383" s="125">
        <f t="shared" si="674"/>
        <v>0.204000000000008</v>
      </c>
      <c r="BJ383" s="125">
        <f t="shared" si="674"/>
        <v>0.186000000000007</v>
      </c>
      <c r="BK383" s="124">
        <f t="shared" si="674"/>
        <v>0.216250000000002</v>
      </c>
      <c r="BL383" s="125">
        <f t="shared" si="674"/>
        <v>0.162999999999982</v>
      </c>
      <c r="BM383" s="125">
        <f t="shared" si="674"/>
        <v>0.132000000000005</v>
      </c>
      <c r="BN383" s="125">
        <f t="shared" si="674"/>
        <v>0.213999999999999</v>
      </c>
      <c r="BO383" s="125">
        <f t="shared" si="674"/>
        <v>0.342000000000013</v>
      </c>
      <c r="BP383" s="124">
        <f t="shared" si="674"/>
        <v>0.210000000000008</v>
      </c>
      <c r="BQ383" s="125">
        <f t="shared" si="674"/>
        <v>0.429000000000002</v>
      </c>
      <c r="BR383" s="125">
        <f t="shared" si="674"/>
        <v>0.544000000000011</v>
      </c>
      <c r="BS383" s="125">
        <f t="shared" ref="BS383:CD383" si="675">BS384-BS382</f>
        <v>0.670999999999992</v>
      </c>
      <c r="BT383" s="125">
        <f t="shared" si="675"/>
        <v>0.587000000000018</v>
      </c>
      <c r="BU383" s="124">
        <f t="shared" si="675"/>
        <v>0.557999999999993</v>
      </c>
      <c r="BV383" s="125">
        <f t="shared" si="675"/>
        <v>0.643000000000001</v>
      </c>
      <c r="BW383" s="125">
        <f t="shared" si="675"/>
        <v>0.49799999999999</v>
      </c>
      <c r="BX383" s="125">
        <f t="shared" si="675"/>
        <v>0.522999999999996</v>
      </c>
      <c r="BY383" s="125">
        <f t="shared" si="675"/>
        <v>0.58499999999998</v>
      </c>
      <c r="BZ383" s="173">
        <f>AVERAGE(BV383:BY383)</f>
        <v>0.562249999999992</v>
      </c>
      <c r="CA383" s="125">
        <f t="shared" si="675"/>
        <v>0.551999999999992</v>
      </c>
      <c r="CB383" s="125">
        <f t="shared" si="675"/>
        <v>0.554000000000002</v>
      </c>
      <c r="CC383" s="125">
        <f t="shared" si="675"/>
        <v>0.605999999999995</v>
      </c>
      <c r="CD383" s="125">
        <f t="shared" si="675"/>
        <v>0.615999999999985</v>
      </c>
      <c r="CE383" s="173">
        <f>AVERAGE(CA383:CD383)</f>
        <v>0.581999999999994</v>
      </c>
      <c r="CF383" s="125">
        <f>CF384-CF382</f>
        <v>0.626000000000005</v>
      </c>
      <c r="CG383" s="125">
        <f>CG384-CG382</f>
        <v>0.483000000000004</v>
      </c>
      <c r="CH383" s="172">
        <f>CH384-CH382</f>
        <v>0.504999999999995</v>
      </c>
      <c r="CI383" s="172">
        <f>CI384-CI382</f>
        <v>0.493000000000023</v>
      </c>
      <c r="CJ383" s="173">
        <f>AVERAGE(CF383:CI383)</f>
        <v>0.526750000000007</v>
      </c>
      <c r="CK383" s="125">
        <f>CK384-CK382</f>
        <v>0.463999999999999</v>
      </c>
      <c r="CL383" s="125">
        <f>CL384-CL382</f>
        <v>0.287000000000006</v>
      </c>
      <c r="CM383" s="172">
        <f>CM384-CM382</f>
        <v>0.308999999999997</v>
      </c>
      <c r="CN383" s="172">
        <f>CN384-CN382</f>
        <v>0.346000000000004</v>
      </c>
      <c r="CO383" s="173">
        <f>AVERAGE(CK383:CN383)</f>
        <v>0.351500000000001</v>
      </c>
      <c r="CP383" s="125">
        <f t="shared" ref="CP383:CV383" si="676">CP384-CP382</f>
        <v>0.375</v>
      </c>
      <c r="CQ383" s="125">
        <f t="shared" si="676"/>
        <v>0.294000000000011</v>
      </c>
      <c r="CR383" s="172">
        <f t="shared" si="676"/>
        <v>0.310000000000002</v>
      </c>
      <c r="CS383" s="172">
        <f t="shared" si="676"/>
        <v>0.356000000000009</v>
      </c>
      <c r="CT383" s="173">
        <f>AVERAGE(CP383:CS383)</f>
        <v>0.333750000000006</v>
      </c>
      <c r="CU383" s="125">
        <f t="shared" si="676"/>
        <v>0.346999999999994</v>
      </c>
      <c r="CV383" s="125">
        <f t="shared" si="676"/>
        <v>0.135999999999996</v>
      </c>
      <c r="CW383" s="172">
        <f t="shared" ref="CW383:CX383" si="677">CW384-CW382</f>
        <v>0.105999999999995</v>
      </c>
      <c r="CX383" s="172">
        <f t="shared" si="677"/>
        <v>0.211999999999989</v>
      </c>
      <c r="CY383" s="173">
        <f>AVERAGE(CU383:CX383)</f>
        <v>0.200249999999993</v>
      </c>
      <c r="CZ383" s="125">
        <f t="shared" ref="CZ383:DA383" si="678">CZ384-CZ382</f>
        <v>0.210999999999999</v>
      </c>
      <c r="DA383" s="125">
        <f t="shared" si="678"/>
        <v>0.0800000000000125</v>
      </c>
      <c r="DB383" s="172">
        <f t="shared" ref="DB383:DC383" si="679">DB384-DB382</f>
        <v>0.0170000000000101</v>
      </c>
      <c r="DC383" s="172">
        <f t="shared" si="679"/>
        <v>0.0409999999999968</v>
      </c>
      <c r="DD383" s="173">
        <f>AVERAGE(CZ383:DC383)</f>
        <v>0.0872500000000045</v>
      </c>
      <c r="DE383" s="125">
        <f t="shared" ref="DE383:DF383" si="680">DE384-DE382</f>
        <v>0.0679999999999978</v>
      </c>
      <c r="DF383" s="125">
        <f t="shared" si="680"/>
        <v>0.0210000000000008</v>
      </c>
      <c r="DG383" s="596">
        <f>IF(DG66&lt;0,0,0.5)</f>
        <v>0.5</v>
      </c>
      <c r="DH383" s="596">
        <f>IF(DH66&lt;0,0,0.5)</f>
        <v>0.5</v>
      </c>
      <c r="DI383" s="173">
        <f>AVERAGE(DE383:DH383)</f>
        <v>0.27225</v>
      </c>
      <c r="DJ383" s="596">
        <f>IF(DJ66&lt;0,0,1)</f>
        <v>1</v>
      </c>
      <c r="DK383" s="596">
        <f>IF(DK66&lt;0,0,1)</f>
        <v>1</v>
      </c>
      <c r="DL383" s="596">
        <f>IF(DL66&lt;0,0,1)</f>
        <v>1</v>
      </c>
      <c r="DM383" s="596">
        <f>IF(DM66&lt;0,0,1)</f>
        <v>1</v>
      </c>
      <c r="DN383" s="173">
        <f>AVERAGE(DJ383:DM383)</f>
        <v>1</v>
      </c>
      <c r="DO383" s="596">
        <f>IF(DO66&lt;0,0,1)</f>
        <v>1</v>
      </c>
      <c r="DP383" s="596">
        <f>IF(DP66&lt;0,0,1)</f>
        <v>1</v>
      </c>
      <c r="DQ383" s="596">
        <f>IF(DQ66&lt;0,0,1)</f>
        <v>1</v>
      </c>
      <c r="DR383" s="596">
        <f>IF(DR66&lt;0,0,1)</f>
        <v>1</v>
      </c>
      <c r="DS383" s="173">
        <f>AVERAGE(DO383:DR383)</f>
        <v>1</v>
      </c>
    </row>
    <row r="384" s="3" customFormat="1" spans="1:123">
      <c r="A384" s="132"/>
      <c r="B384" s="130" t="s">
        <v>272</v>
      </c>
      <c r="C384" s="131"/>
      <c r="D384" s="132"/>
      <c r="E384" s="132"/>
      <c r="F384" s="132"/>
      <c r="G384" s="132"/>
      <c r="H384" s="131">
        <f>H70</f>
        <v>138.594</v>
      </c>
      <c r="I384" s="132"/>
      <c r="J384" s="132"/>
      <c r="K384" s="132"/>
      <c r="L384" s="132"/>
      <c r="M384" s="131">
        <f>M70</f>
        <v>143.979012</v>
      </c>
      <c r="N384" s="132"/>
      <c r="O384" s="132"/>
      <c r="P384" s="132"/>
      <c r="Q384" s="132"/>
      <c r="R384" s="131">
        <f>R70</f>
        <v>138.594</v>
      </c>
      <c r="S384" s="132"/>
      <c r="T384" s="132"/>
      <c r="U384" s="132"/>
      <c r="V384" s="132"/>
      <c r="W384" s="131">
        <f>W70</f>
        <v>142</v>
      </c>
      <c r="X384" s="132"/>
      <c r="Y384" s="132"/>
      <c r="Z384" s="132"/>
      <c r="AA384" s="132"/>
      <c r="AB384" s="131">
        <f>AB70</f>
        <v>142</v>
      </c>
      <c r="AC384" s="132"/>
      <c r="AD384" s="132"/>
      <c r="AE384" s="132"/>
      <c r="AF384" s="132"/>
      <c r="AG384" s="131">
        <f t="shared" ref="AG384:CD384" si="681">AG70</f>
        <v>143.858</v>
      </c>
      <c r="AH384" s="132">
        <f t="shared" si="681"/>
        <v>144.91</v>
      </c>
      <c r="AI384" s="132">
        <f t="shared" si="681"/>
        <v>145.228</v>
      </c>
      <c r="AJ384" s="132">
        <f t="shared" si="681"/>
        <v>145.349</v>
      </c>
      <c r="AK384" s="132">
        <f t="shared" si="681"/>
        <v>145.278</v>
      </c>
      <c r="AL384" s="131">
        <f t="shared" si="681"/>
        <v>145.278</v>
      </c>
      <c r="AM384" s="132">
        <f t="shared" si="681"/>
        <v>145.637</v>
      </c>
      <c r="AN384" s="132">
        <f t="shared" si="681"/>
        <v>145.678</v>
      </c>
      <c r="AO384" s="132">
        <f t="shared" si="681"/>
        <v>145.748</v>
      </c>
      <c r="AP384" s="132">
        <f t="shared" si="681"/>
        <v>145.846</v>
      </c>
      <c r="AQ384" s="131">
        <f t="shared" si="681"/>
        <v>145.72725</v>
      </c>
      <c r="AR384" s="132">
        <f t="shared" si="681"/>
        <v>145.849</v>
      </c>
      <c r="AS384" s="132">
        <f t="shared" si="681"/>
        <v>145.916</v>
      </c>
      <c r="AT384" s="132">
        <f t="shared" si="681"/>
        <v>146.014</v>
      </c>
      <c r="AU384" s="132">
        <f t="shared" si="681"/>
        <v>146.035</v>
      </c>
      <c r="AV384" s="131">
        <f t="shared" si="681"/>
        <v>145.9535</v>
      </c>
      <c r="AW384" s="132">
        <f t="shared" si="681"/>
        <v>145.861</v>
      </c>
      <c r="AX384" s="132">
        <f t="shared" si="681"/>
        <v>145.544</v>
      </c>
      <c r="AY384" s="132">
        <f t="shared" si="681"/>
        <v>143.441</v>
      </c>
      <c r="AZ384" s="132">
        <f t="shared" si="681"/>
        <v>142.346</v>
      </c>
      <c r="BA384" s="131">
        <f t="shared" si="681"/>
        <v>144.298</v>
      </c>
      <c r="BB384" s="132">
        <f t="shared" si="681"/>
        <v>142.337</v>
      </c>
      <c r="BC384" s="132">
        <f t="shared" si="681"/>
        <v>141.644</v>
      </c>
      <c r="BD384" s="132">
        <f t="shared" si="681"/>
        <v>140.457</v>
      </c>
      <c r="BE384" s="132">
        <f t="shared" si="681"/>
        <v>138.24</v>
      </c>
      <c r="BF384" s="131">
        <f t="shared" si="681"/>
        <v>140.6695</v>
      </c>
      <c r="BG384" s="132">
        <f t="shared" si="681"/>
        <v>137.495</v>
      </c>
      <c r="BH384" s="132">
        <f t="shared" si="681"/>
        <v>137.229</v>
      </c>
      <c r="BI384" s="132">
        <f t="shared" si="681"/>
        <v>137.237</v>
      </c>
      <c r="BJ384" s="132">
        <f t="shared" si="681"/>
        <v>137.245</v>
      </c>
      <c r="BK384" s="131">
        <f t="shared" si="681"/>
        <v>137.30175</v>
      </c>
      <c r="BL384" s="132">
        <f t="shared" si="681"/>
        <v>137.2</v>
      </c>
      <c r="BM384" s="132">
        <f t="shared" si="681"/>
        <v>136.303</v>
      </c>
      <c r="BN384" s="132">
        <f t="shared" si="681"/>
        <v>135.578</v>
      </c>
      <c r="BO384" s="132">
        <f t="shared" si="681"/>
        <v>135.723</v>
      </c>
      <c r="BP384" s="131">
        <f t="shared" si="681"/>
        <v>136.198</v>
      </c>
      <c r="BQ384" s="132">
        <f t="shared" si="681"/>
        <v>135.931</v>
      </c>
      <c r="BR384" s="132">
        <f t="shared" si="681"/>
        <v>134.53</v>
      </c>
      <c r="BS384" s="132">
        <f t="shared" si="681"/>
        <v>133.077</v>
      </c>
      <c r="BT384" s="132">
        <f t="shared" si="681"/>
        <v>132.465</v>
      </c>
      <c r="BU384" s="131">
        <f t="shared" si="681"/>
        <v>133.971</v>
      </c>
      <c r="BV384" s="132">
        <f t="shared" si="681"/>
        <v>131.337</v>
      </c>
      <c r="BW384" s="132">
        <f t="shared" si="681"/>
        <v>130.783</v>
      </c>
      <c r="BX384" s="132">
        <f t="shared" si="681"/>
        <v>130.805</v>
      </c>
      <c r="BY384" s="132">
        <f t="shared" si="681"/>
        <v>130.896</v>
      </c>
      <c r="BZ384" s="124">
        <f>AVERAGE(BV384:BY384)</f>
        <v>130.95525</v>
      </c>
      <c r="CA384" s="132">
        <f t="shared" si="681"/>
        <v>130.803</v>
      </c>
      <c r="CB384" s="132">
        <f t="shared" si="681"/>
        <v>130.799</v>
      </c>
      <c r="CC384" s="132">
        <f t="shared" si="681"/>
        <v>130.924</v>
      </c>
      <c r="CD384" s="132">
        <f t="shared" si="681"/>
        <v>130.956</v>
      </c>
      <c r="CE384" s="124">
        <f>AVERAGE(CA384:CD384)</f>
        <v>130.8705</v>
      </c>
      <c r="CF384" s="132">
        <f>CF70</f>
        <v>130.984</v>
      </c>
      <c r="CG384" s="132">
        <f>CG70</f>
        <v>130.49</v>
      </c>
      <c r="CH384" s="177">
        <f>CH70</f>
        <v>130.189</v>
      </c>
      <c r="CI384" s="177">
        <f>CI70</f>
        <v>129.508</v>
      </c>
      <c r="CJ384" s="124">
        <f>AVERAGE(CF384:CI384)</f>
        <v>130.29275</v>
      </c>
      <c r="CK384" s="132">
        <f>CK70</f>
        <v>128.541</v>
      </c>
      <c r="CL384" s="132">
        <f>CL70</f>
        <v>127.906</v>
      </c>
      <c r="CM384" s="177">
        <f>CM70</f>
        <v>127.82</v>
      </c>
      <c r="CN384" s="132">
        <f>CN70</f>
        <v>127.802</v>
      </c>
      <c r="CO384" s="124">
        <f>AVERAGE(CK384:CN384)</f>
        <v>128.01725</v>
      </c>
      <c r="CP384" s="132">
        <f t="shared" ref="CP384:CV384" si="682">CP70</f>
        <v>127.621</v>
      </c>
      <c r="CQ384" s="132">
        <f t="shared" si="682"/>
        <v>127.263</v>
      </c>
      <c r="CR384" s="177">
        <f t="shared" si="682"/>
        <v>126.77</v>
      </c>
      <c r="CS384" s="132">
        <f t="shared" si="682"/>
        <v>126.584</v>
      </c>
      <c r="CT384" s="124">
        <f>AVERAGE(CP384:CS384)</f>
        <v>127.0595</v>
      </c>
      <c r="CU384" s="132">
        <f t="shared" si="682"/>
        <v>126.336</v>
      </c>
      <c r="CV384" s="132">
        <f t="shared" si="682"/>
        <v>124.857</v>
      </c>
      <c r="CW384" s="177">
        <f t="shared" ref="CW384:CX384" si="683">CW70</f>
        <v>122.803</v>
      </c>
      <c r="CX384" s="177">
        <f t="shared" si="683"/>
        <v>121.895</v>
      </c>
      <c r="CY384" s="124">
        <f>AVERAGE(CU384:CX384)</f>
        <v>123.97275</v>
      </c>
      <c r="CZ384" s="132">
        <f t="shared" ref="CZ384:DA384" si="684">CZ70</f>
        <v>120.843</v>
      </c>
      <c r="DA384" s="132">
        <f t="shared" si="684"/>
        <v>119.68</v>
      </c>
      <c r="DB384" s="177">
        <f t="shared" ref="DB384:DC384" si="685">DB70</f>
        <v>118.552</v>
      </c>
      <c r="DC384" s="177">
        <f t="shared" si="685"/>
        <v>117.196</v>
      </c>
      <c r="DD384" s="124">
        <f>AVERAGE(CZ384:DC384)</f>
        <v>119.06775</v>
      </c>
      <c r="DE384" s="132">
        <f t="shared" ref="DE384:DF384" si="686">DE70</f>
        <v>115.482</v>
      </c>
      <c r="DF384" s="132">
        <f t="shared" si="686"/>
        <v>112.919</v>
      </c>
      <c r="DG384" s="132">
        <f>DG382+DG383</f>
        <v>110.944558159767</v>
      </c>
      <c r="DH384" s="132">
        <f>DH382+DH383</f>
        <v>108.582169192048</v>
      </c>
      <c r="DI384" s="124">
        <f>AVERAGE(DE384:DH384)</f>
        <v>111.981931837954</v>
      </c>
      <c r="DJ384" s="132">
        <f>DJ382+DJ383</f>
        <v>107.35564606056</v>
      </c>
      <c r="DK384" s="132">
        <f>DK382+DK383</f>
        <v>106.164289660477</v>
      </c>
      <c r="DL384" s="132">
        <f>DL382+DL383</f>
        <v>104.996293189806</v>
      </c>
      <c r="DM384" s="132">
        <f>DM382+DM383</f>
        <v>103.851198610718</v>
      </c>
      <c r="DN384" s="124">
        <f>AVERAGE(DJ384:DM384)</f>
        <v>105.59185688039</v>
      </c>
      <c r="DO384" s="132">
        <f>DO382+DO383</f>
        <v>102.728556866513</v>
      </c>
      <c r="DP384" s="132">
        <f>DP382+DP383</f>
        <v>101.627927705528</v>
      </c>
      <c r="DQ384" s="132">
        <f>DQ382+DQ383</f>
        <v>100.548879508485</v>
      </c>
      <c r="DR384" s="132">
        <f>DR382+DR383</f>
        <v>99.4909891192258</v>
      </c>
      <c r="DS384" s="124">
        <f>AVERAGE(DO384:DR384)</f>
        <v>101.099088299938</v>
      </c>
    </row>
    <row r="385" spans="1:123">
      <c r="A385" s="132"/>
      <c r="B385" s="38"/>
      <c r="C385" s="131"/>
      <c r="D385" s="132"/>
      <c r="E385" s="132"/>
      <c r="F385" s="132"/>
      <c r="G385" s="132"/>
      <c r="H385" s="131"/>
      <c r="I385" s="132"/>
      <c r="J385" s="132"/>
      <c r="K385" s="132"/>
      <c r="L385" s="132"/>
      <c r="M385" s="131"/>
      <c r="N385" s="132"/>
      <c r="O385" s="132"/>
      <c r="P385" s="132"/>
      <c r="Q385" s="132"/>
      <c r="R385" s="131"/>
      <c r="S385" s="132"/>
      <c r="T385" s="132"/>
      <c r="U385" s="132"/>
      <c r="V385" s="132"/>
      <c r="W385" s="131"/>
      <c r="X385" s="132"/>
      <c r="Y385" s="132"/>
      <c r="Z385" s="132"/>
      <c r="AA385" s="132"/>
      <c r="AB385" s="131"/>
      <c r="AC385" s="132"/>
      <c r="AD385" s="132"/>
      <c r="AE385" s="132"/>
      <c r="AF385" s="132"/>
      <c r="AG385" s="131"/>
      <c r="AH385" s="132"/>
      <c r="AI385" s="132"/>
      <c r="AJ385" s="132"/>
      <c r="AK385" s="132"/>
      <c r="AL385" s="131"/>
      <c r="AM385" s="132"/>
      <c r="AN385" s="132"/>
      <c r="AO385" s="132"/>
      <c r="AP385" s="132"/>
      <c r="AQ385" s="131"/>
      <c r="AR385" s="132"/>
      <c r="AS385" s="132"/>
      <c r="AT385" s="132"/>
      <c r="AU385" s="132"/>
      <c r="AV385" s="131"/>
      <c r="AW385" s="132"/>
      <c r="AX385" s="132"/>
      <c r="AY385" s="132"/>
      <c r="AZ385" s="132"/>
      <c r="BA385" s="131"/>
      <c r="BB385" s="132"/>
      <c r="BC385" s="132"/>
      <c r="BD385" s="132"/>
      <c r="BE385" s="132"/>
      <c r="BF385" s="131"/>
      <c r="BG385" s="132"/>
      <c r="BH385" s="132"/>
      <c r="BI385" s="132"/>
      <c r="BJ385" s="132"/>
      <c r="BK385" s="131"/>
      <c r="BL385" s="132"/>
      <c r="BM385" s="132"/>
      <c r="BN385" s="132"/>
      <c r="BO385" s="132"/>
      <c r="BP385" s="131"/>
      <c r="BQ385" s="132"/>
      <c r="BR385" s="132"/>
      <c r="BS385" s="132"/>
      <c r="BT385" s="132"/>
      <c r="BU385" s="131"/>
      <c r="BV385" s="132"/>
      <c r="BW385" s="132"/>
      <c r="BX385" s="132"/>
      <c r="BY385" s="132"/>
      <c r="BZ385" s="131"/>
      <c r="CA385" s="132"/>
      <c r="CB385" s="132"/>
      <c r="CC385" s="132"/>
      <c r="CD385" s="132"/>
      <c r="CE385" s="131"/>
      <c r="CF385" s="132"/>
      <c r="CG385" s="132"/>
      <c r="CH385" s="132"/>
      <c r="CI385" s="132"/>
      <c r="CJ385" s="131"/>
      <c r="CK385" s="132"/>
      <c r="CL385" s="132"/>
      <c r="CM385" s="132"/>
      <c r="CN385" s="132"/>
      <c r="CO385" s="131"/>
      <c r="CP385" s="132"/>
      <c r="CQ385" s="132"/>
      <c r="CR385" s="132"/>
      <c r="CS385" s="132"/>
      <c r="CT385" s="131"/>
      <c r="CU385" s="132"/>
      <c r="CV385" s="132"/>
      <c r="CW385" s="132"/>
      <c r="CX385" s="132"/>
      <c r="CY385" s="131"/>
      <c r="CZ385" s="132"/>
      <c r="DA385" s="132"/>
      <c r="DB385" s="132"/>
      <c r="DC385" s="132"/>
      <c r="DD385" s="131"/>
      <c r="DE385" s="132"/>
      <c r="DF385" s="132"/>
      <c r="DG385" s="132"/>
      <c r="DH385" s="132"/>
      <c r="DI385" s="131"/>
      <c r="DJ385" s="132"/>
      <c r="DK385" s="132"/>
      <c r="DL385" s="132"/>
      <c r="DM385" s="132"/>
      <c r="DN385" s="131"/>
      <c r="DO385" s="132"/>
      <c r="DP385" s="132"/>
      <c r="DQ385" s="132"/>
      <c r="DR385" s="132"/>
      <c r="DS385" s="131"/>
    </row>
    <row r="386" spans="1:123">
      <c r="A386" s="132"/>
      <c r="B386" s="33" t="s">
        <v>273</v>
      </c>
      <c r="C386" s="131"/>
      <c r="D386" s="132"/>
      <c r="E386" s="132"/>
      <c r="F386" s="132"/>
      <c r="G386" s="132"/>
      <c r="H386" s="124">
        <v>0</v>
      </c>
      <c r="I386" s="132"/>
      <c r="J386" s="132"/>
      <c r="K386" s="132"/>
      <c r="L386" s="132"/>
      <c r="M386" s="124">
        <v>0</v>
      </c>
      <c r="N386" s="132"/>
      <c r="O386" s="132"/>
      <c r="P386" s="132"/>
      <c r="Q386" s="132"/>
      <c r="R386" s="124">
        <v>0</v>
      </c>
      <c r="S386" s="132"/>
      <c r="T386" s="132"/>
      <c r="U386" s="132"/>
      <c r="V386" s="132"/>
      <c r="W386" s="124">
        <v>0</v>
      </c>
      <c r="X386" s="132"/>
      <c r="Y386" s="132"/>
      <c r="Z386" s="132"/>
      <c r="AA386" s="132"/>
      <c r="AB386" s="124">
        <v>0</v>
      </c>
      <c r="AC386" s="132"/>
      <c r="AD386" s="132"/>
      <c r="AE386" s="132"/>
      <c r="AF386" s="132"/>
      <c r="AG386" s="124">
        <v>0</v>
      </c>
      <c r="AH386" s="125">
        <v>0</v>
      </c>
      <c r="AI386" s="125">
        <v>0</v>
      </c>
      <c r="AJ386" s="125">
        <v>0</v>
      </c>
      <c r="AK386" s="125">
        <v>0</v>
      </c>
      <c r="AL386" s="124">
        <f>SUM(AH386:AK386)</f>
        <v>0</v>
      </c>
      <c r="AM386" s="125">
        <v>0</v>
      </c>
      <c r="AN386" s="125">
        <v>0</v>
      </c>
      <c r="AO386" s="125">
        <v>0</v>
      </c>
      <c r="AP386" s="125">
        <v>0</v>
      </c>
      <c r="AQ386" s="124">
        <f>SUM(AM386:AP386)</f>
        <v>0</v>
      </c>
      <c r="AR386" s="125">
        <v>0</v>
      </c>
      <c r="AS386" s="125">
        <v>0</v>
      </c>
      <c r="AT386" s="125">
        <v>0</v>
      </c>
      <c r="AU386" s="125">
        <v>0</v>
      </c>
      <c r="AV386" s="124">
        <f>SUM(AR386:AU386)</f>
        <v>0</v>
      </c>
      <c r="AW386" s="125">
        <v>0</v>
      </c>
      <c r="AX386" s="172">
        <v>1.422</v>
      </c>
      <c r="AY386" s="172">
        <f>+AY387/AY381</f>
        <v>0.523234324823801</v>
      </c>
      <c r="AZ386" s="172">
        <v>0.396469</v>
      </c>
      <c r="BA386" s="124">
        <f>SUM(AW386:AZ386)</f>
        <v>2.3417033248238</v>
      </c>
      <c r="BB386" s="172">
        <v>0.282802</v>
      </c>
      <c r="BC386" s="172">
        <v>0.987616</v>
      </c>
      <c r="BD386" s="172">
        <v>1.584635</v>
      </c>
      <c r="BE386" s="172">
        <v>2.103793</v>
      </c>
      <c r="BF386" s="124">
        <f>SUM(BB386:BE386)</f>
        <v>4.958846</v>
      </c>
      <c r="BG386" s="172">
        <v>0.242423</v>
      </c>
      <c r="BH386" s="172">
        <v>0.200913</v>
      </c>
      <c r="BI386" s="172">
        <f>+BI387/BI381</f>
        <v>0</v>
      </c>
      <c r="BJ386" s="172">
        <f>+BJ387/BJ381</f>
        <v>0.00562553127889515</v>
      </c>
      <c r="BK386" s="124">
        <f>SUM(BG386:BJ386)</f>
        <v>0.448961531278895</v>
      </c>
      <c r="BL386" s="172">
        <v>0.234405</v>
      </c>
      <c r="BM386" s="172">
        <v>1.5</v>
      </c>
      <c r="BN386" s="172">
        <v>0.1</v>
      </c>
      <c r="BO386" s="125">
        <f>BP386-BL386-BM386-BN386</f>
        <v>0.0655949999999999</v>
      </c>
      <c r="BP386" s="124">
        <v>1.9</v>
      </c>
      <c r="BQ386" s="172">
        <f>100/1000000</f>
        <v>0.0001</v>
      </c>
      <c r="BR386" s="125">
        <v>3.4</v>
      </c>
      <c r="BS386" s="125">
        <v>0</v>
      </c>
      <c r="BT386" s="125">
        <v>1.5</v>
      </c>
      <c r="BU386" s="124">
        <f>SUM(BQ386:BT386)</f>
        <v>4.9001</v>
      </c>
      <c r="BV386" s="125">
        <v>1</v>
      </c>
      <c r="BW386" s="125">
        <v>0.0096</v>
      </c>
      <c r="BX386" s="125">
        <v>0.0445</v>
      </c>
      <c r="BY386" s="125">
        <v>0.001584</v>
      </c>
      <c r="BZ386" s="124">
        <f>SUM(BV386:BY386)</f>
        <v>1.055684</v>
      </c>
      <c r="CA386" s="125">
        <v>0</v>
      </c>
      <c r="CB386" s="125">
        <v>0</v>
      </c>
      <c r="CC386" s="125">
        <v>0</v>
      </c>
      <c r="CD386" s="125">
        <v>0</v>
      </c>
      <c r="CE386" s="124">
        <f>SUM(CA386:CD386)</f>
        <v>0</v>
      </c>
      <c r="CF386" s="172">
        <v>0.3</v>
      </c>
      <c r="CG386" s="172">
        <v>0.505517</v>
      </c>
      <c r="CH386" s="126">
        <f>0.583</f>
        <v>0.583</v>
      </c>
      <c r="CI386" s="126">
        <v>0.84359</v>
      </c>
      <c r="CJ386" s="725">
        <f>SUM(CF386:CI386)</f>
        <v>2.232107</v>
      </c>
      <c r="CK386" s="126">
        <v>0.7</v>
      </c>
      <c r="CL386" s="128">
        <f>+CL387/CL388</f>
        <v>0.420068369193646</v>
      </c>
      <c r="CM386" s="128">
        <v>0.0546</v>
      </c>
      <c r="CN386" s="126">
        <v>0.212531</v>
      </c>
      <c r="CO386" s="127">
        <f>SUM(CK386:CN386)</f>
        <v>1.38719936919365</v>
      </c>
      <c r="CP386" s="126">
        <v>0.3</v>
      </c>
      <c r="CQ386" s="126">
        <v>0.5</v>
      </c>
      <c r="CR386" s="126">
        <v>0.553</v>
      </c>
      <c r="CS386" s="126">
        <v>0.1396</v>
      </c>
      <c r="CT386" s="127">
        <f>SUM(CP386:CS386)</f>
        <v>1.4926</v>
      </c>
      <c r="CU386" s="126">
        <v>0.8</v>
      </c>
      <c r="CV386" s="126">
        <f>1.882072</f>
        <v>1.882072</v>
      </c>
      <c r="CW386" s="126">
        <v>1.575499</v>
      </c>
      <c r="CX386" s="126">
        <v>0.938018</v>
      </c>
      <c r="CY386" s="127">
        <f>SUM(CU386:CX386)</f>
        <v>5.195589</v>
      </c>
      <c r="CZ386" s="126">
        <v>1.363227</v>
      </c>
      <c r="DA386" s="126">
        <v>1.1</v>
      </c>
      <c r="DB386" s="126">
        <v>1</v>
      </c>
      <c r="DC386" s="126">
        <v>1.4</v>
      </c>
      <c r="DD386" s="127">
        <f>SUM(CZ386:DC386)</f>
        <v>4.863227</v>
      </c>
      <c r="DE386" s="126">
        <v>2.2</v>
      </c>
      <c r="DF386" s="128">
        <v>2.7</v>
      </c>
      <c r="DG386" s="126">
        <f>DG387/DG388</f>
        <v>2.47488368046702</v>
      </c>
      <c r="DH386" s="126">
        <f>DH387/DH388</f>
        <v>2.24989425497002</v>
      </c>
      <c r="DI386" s="127">
        <f>SUM(DE386:DH386)</f>
        <v>9.62477793543703</v>
      </c>
      <c r="DJ386" s="126">
        <f>DJ387/DJ388</f>
        <v>1.20315200800536</v>
      </c>
      <c r="DK386" s="126">
        <f>DK387/DK388</f>
        <v>1.17956079216211</v>
      </c>
      <c r="DL386" s="126">
        <f>DL387/DL388</f>
        <v>1.15643214917854</v>
      </c>
      <c r="DM386" s="126">
        <f>DM387/DM388</f>
        <v>1.13375700899857</v>
      </c>
      <c r="DN386" s="127">
        <f>SUM(DJ386:DM386)</f>
        <v>4.67290195834458</v>
      </c>
      <c r="DO386" s="126">
        <f>DO387/DO388</f>
        <v>1.11152647941036</v>
      </c>
      <c r="DP386" s="126">
        <f>DP387/DP388</f>
        <v>1.08973184255918</v>
      </c>
      <c r="DQ386" s="126">
        <f>DQ387/DQ388</f>
        <v>1.06836455152861</v>
      </c>
      <c r="DR386" s="126">
        <f>DR387/DR388</f>
        <v>1.04741622698883</v>
      </c>
      <c r="DS386" s="127">
        <f>SUM(DO386:DR386)</f>
        <v>4.31703910048699</v>
      </c>
    </row>
    <row r="387" spans="1:123">
      <c r="A387" s="132"/>
      <c r="B387" s="33" t="s">
        <v>274</v>
      </c>
      <c r="C387" s="131"/>
      <c r="D387" s="132"/>
      <c r="E387" s="132"/>
      <c r="F387" s="132"/>
      <c r="G387" s="132"/>
      <c r="H387" s="124">
        <f>-H112</f>
        <v>0</v>
      </c>
      <c r="I387" s="132"/>
      <c r="J387" s="132"/>
      <c r="K387" s="132"/>
      <c r="L387" s="132"/>
      <c r="M387" s="124">
        <f>-M112</f>
        <v>0</v>
      </c>
      <c r="N387" s="132"/>
      <c r="O387" s="132"/>
      <c r="P387" s="132"/>
      <c r="Q387" s="132"/>
      <c r="R387" s="124">
        <f>-R112</f>
        <v>0</v>
      </c>
      <c r="S387" s="132"/>
      <c r="T387" s="132"/>
      <c r="U387" s="132"/>
      <c r="V387" s="132"/>
      <c r="W387" s="124">
        <f>-W112</f>
        <v>0</v>
      </c>
      <c r="X387" s="132"/>
      <c r="Y387" s="132"/>
      <c r="Z387" s="132"/>
      <c r="AA387" s="132"/>
      <c r="AB387" s="124">
        <f>-AB112</f>
        <v>0</v>
      </c>
      <c r="AC387" s="132"/>
      <c r="AD387" s="132"/>
      <c r="AE387" s="132"/>
      <c r="AF387" s="132"/>
      <c r="AG387" s="124">
        <f>-AG112</f>
        <v>0</v>
      </c>
      <c r="AH387" s="125">
        <f>-AH112</f>
        <v>0</v>
      </c>
      <c r="AI387" s="125">
        <f>-AI112</f>
        <v>0</v>
      </c>
      <c r="AJ387" s="125">
        <f>-AJ112</f>
        <v>0</v>
      </c>
      <c r="AK387" s="125">
        <f>-AK112</f>
        <v>0</v>
      </c>
      <c r="AL387" s="124">
        <f>SUM(AH387:AK387)</f>
        <v>0</v>
      </c>
      <c r="AM387" s="125">
        <f>-AM112</f>
        <v>0</v>
      </c>
      <c r="AN387" s="125">
        <f>-AN112</f>
        <v>0</v>
      </c>
      <c r="AO387" s="125">
        <f>-AO112</f>
        <v>0</v>
      </c>
      <c r="AP387" s="125">
        <f>-AP112</f>
        <v>0</v>
      </c>
      <c r="AQ387" s="124">
        <f>SUM(AM387:AP387)</f>
        <v>0</v>
      </c>
      <c r="AR387" s="125">
        <f>-AR112</f>
        <v>0</v>
      </c>
      <c r="AS387" s="125">
        <f>-AS112</f>
        <v>0</v>
      </c>
      <c r="AT387" s="125">
        <f>-AT112</f>
        <v>0</v>
      </c>
      <c r="AU387" s="125">
        <f>-AU112</f>
        <v>0</v>
      </c>
      <c r="AV387" s="124">
        <f>SUM(AR387:AU387)</f>
        <v>0</v>
      </c>
      <c r="AW387" s="125">
        <f>-AW112</f>
        <v>0</v>
      </c>
      <c r="AX387" s="125">
        <f>-AX112</f>
        <v>55.804</v>
      </c>
      <c r="AY387" s="125">
        <f>-AY112</f>
        <v>74.462</v>
      </c>
      <c r="AZ387" s="125">
        <f>-AZ112</f>
        <v>17.165</v>
      </c>
      <c r="BA387" s="124">
        <f>SUM(AW387:AZ387)</f>
        <v>147.431</v>
      </c>
      <c r="BB387" s="125">
        <f>-BB112</f>
        <v>18.815</v>
      </c>
      <c r="BC387" s="125">
        <f>-BC112</f>
        <v>63.183</v>
      </c>
      <c r="BD387" s="125">
        <f>-BD112</f>
        <v>87.976</v>
      </c>
      <c r="BE387" s="125">
        <f>-BE112</f>
        <v>104.219</v>
      </c>
      <c r="BF387" s="124">
        <f>SUM(BB387:BE387)</f>
        <v>274.193</v>
      </c>
      <c r="BG387" s="125">
        <f>-BG112</f>
        <v>15.765</v>
      </c>
      <c r="BH387" s="125">
        <f>-BH112</f>
        <v>12.791</v>
      </c>
      <c r="BI387" s="125">
        <f>-BI112</f>
        <v>0</v>
      </c>
      <c r="BJ387" s="125">
        <f>-BJ112</f>
        <v>0.771000000000001</v>
      </c>
      <c r="BK387" s="124">
        <f>SUM(BG387:BJ387)</f>
        <v>29.327</v>
      </c>
      <c r="BL387" s="125">
        <f>-BL112</f>
        <v>12.804</v>
      </c>
      <c r="BM387" s="125">
        <f>-BM112</f>
        <v>77.997</v>
      </c>
      <c r="BN387" s="125">
        <f>-BN112</f>
        <v>8.468</v>
      </c>
      <c r="BO387" s="125">
        <f>-BO112</f>
        <v>0.99199999999999</v>
      </c>
      <c r="BP387" s="124">
        <f>SUM(BL387:BO387)</f>
        <v>100.261</v>
      </c>
      <c r="BQ387" s="172">
        <v>0.008</v>
      </c>
      <c r="BR387" s="125">
        <f>-BR112</f>
        <v>406.238</v>
      </c>
      <c r="BS387" s="125">
        <f>-BS112</f>
        <v>8.089</v>
      </c>
      <c r="BT387" s="125">
        <f>-BT112</f>
        <v>184.005</v>
      </c>
      <c r="BU387" s="124">
        <f>SUM(BQ387:BT387)</f>
        <v>598.34</v>
      </c>
      <c r="BV387" s="125">
        <f>-BV112</f>
        <v>163.53</v>
      </c>
      <c r="BW387" s="125">
        <f>-BW112</f>
        <v>1.56899999999999</v>
      </c>
      <c r="BX387" s="125">
        <f>-BX112</f>
        <v>7.99300000000002</v>
      </c>
      <c r="BY387" s="125">
        <f>-BY112</f>
        <v>0.306999999999988</v>
      </c>
      <c r="BZ387" s="173">
        <f>SUM(BV387:BY387)</f>
        <v>173.399</v>
      </c>
      <c r="CA387" s="125">
        <f>-CA112</f>
        <v>63.663</v>
      </c>
      <c r="CB387" s="125">
        <f>-CB112</f>
        <v>0</v>
      </c>
      <c r="CC387" s="125">
        <f>-CC112</f>
        <v>0</v>
      </c>
      <c r="CD387" s="125">
        <f>-CD112</f>
        <v>0</v>
      </c>
      <c r="CE387" s="173">
        <f>SUM(CA387:CD387)</f>
        <v>63.663</v>
      </c>
      <c r="CF387" s="125">
        <f>-CF112</f>
        <v>83.831</v>
      </c>
      <c r="CG387" s="125">
        <f>-CG112</f>
        <v>171.082</v>
      </c>
      <c r="CH387" s="126">
        <f>-CH112</f>
        <v>236.423</v>
      </c>
      <c r="CI387" s="126">
        <f>-CI112</f>
        <v>321.266</v>
      </c>
      <c r="CJ387" s="129">
        <f>SUM(CF387:CI387)</f>
        <v>812.602</v>
      </c>
      <c r="CK387" s="126">
        <f>-CK112</f>
        <v>232.644</v>
      </c>
      <c r="CL387" s="126">
        <f>-CL112</f>
        <v>125.34</v>
      </c>
      <c r="CM387" s="126">
        <f>-CM112</f>
        <v>16.992</v>
      </c>
      <c r="CN387" s="126">
        <f>-CN112</f>
        <v>69.025</v>
      </c>
      <c r="CO387" s="129">
        <f>SUM(CK387:CN387)</f>
        <v>444.001</v>
      </c>
      <c r="CP387" s="126">
        <f>-CP112</f>
        <v>98.479</v>
      </c>
      <c r="CQ387" s="126">
        <f>-CQ112</f>
        <v>193.538</v>
      </c>
      <c r="CR387" s="126">
        <f>-CR112</f>
        <v>212.626</v>
      </c>
      <c r="CS387" s="126">
        <f>-CS112</f>
        <v>54.0090000000001</v>
      </c>
      <c r="CT387" s="129">
        <f>SUM(CP387:CS387)</f>
        <v>558.652</v>
      </c>
      <c r="CU387" s="126">
        <f>-CU112</f>
        <v>299.479</v>
      </c>
      <c r="CV387" s="126">
        <f>-CV112</f>
        <v>589.456</v>
      </c>
      <c r="CW387" s="126">
        <f>-CW112</f>
        <v>412.593</v>
      </c>
      <c r="CX387" s="126">
        <f>-CX112</f>
        <v>335.351</v>
      </c>
      <c r="CY387" s="129">
        <f>SUM(CU387:CX387)</f>
        <v>1636.879</v>
      </c>
      <c r="CZ387" s="126">
        <f>-CZ112</f>
        <v>434.439</v>
      </c>
      <c r="DA387" s="126">
        <f>-DA112</f>
        <v>281.233</v>
      </c>
      <c r="DB387" s="126">
        <f>-DB112</f>
        <v>190.908</v>
      </c>
      <c r="DC387" s="126">
        <f>-DC112</f>
        <v>271.769</v>
      </c>
      <c r="DD387" s="129">
        <f>SUM(CZ387:DC387)</f>
        <v>1178.349</v>
      </c>
      <c r="DE387" s="126">
        <f>-DE112</f>
        <v>361.756</v>
      </c>
      <c r="DF387" s="126">
        <f>-DF112</f>
        <v>333.349</v>
      </c>
      <c r="DG387" s="126">
        <f>-DG112</f>
        <v>275</v>
      </c>
      <c r="DH387" s="126">
        <f>-DH112</f>
        <v>275</v>
      </c>
      <c r="DI387" s="129">
        <f>SUM(DE387:DH387)</f>
        <v>1245.105</v>
      </c>
      <c r="DJ387" s="126">
        <f>-DJ112</f>
        <v>150</v>
      </c>
      <c r="DK387" s="126">
        <f>-DK112</f>
        <v>150</v>
      </c>
      <c r="DL387" s="126">
        <f>-DL112</f>
        <v>150</v>
      </c>
      <c r="DM387" s="126">
        <f>-DM112</f>
        <v>150</v>
      </c>
      <c r="DN387" s="129">
        <f>SUM(DJ387:DM387)</f>
        <v>600</v>
      </c>
      <c r="DO387" s="126">
        <f>-DO112</f>
        <v>150</v>
      </c>
      <c r="DP387" s="126">
        <f>-DP112</f>
        <v>150</v>
      </c>
      <c r="DQ387" s="126">
        <f>-DQ112</f>
        <v>150</v>
      </c>
      <c r="DR387" s="126">
        <f>-DR112</f>
        <v>150</v>
      </c>
      <c r="DS387" s="129">
        <f>SUM(DO387:DR387)</f>
        <v>600</v>
      </c>
    </row>
    <row r="388" spans="1:123">
      <c r="A388" s="132"/>
      <c r="B388" s="33" t="s">
        <v>275</v>
      </c>
      <c r="C388" s="131"/>
      <c r="D388" s="132"/>
      <c r="E388" s="132"/>
      <c r="F388" s="132"/>
      <c r="G388" s="132"/>
      <c r="H388" s="131"/>
      <c r="I388" s="132"/>
      <c r="J388" s="132"/>
      <c r="K388" s="132"/>
      <c r="L388" s="132"/>
      <c r="M388" s="131"/>
      <c r="N388" s="190"/>
      <c r="O388" s="190"/>
      <c r="P388" s="190"/>
      <c r="Q388" s="190"/>
      <c r="R388" s="131"/>
      <c r="S388" s="190"/>
      <c r="T388" s="190"/>
      <c r="U388" s="190"/>
      <c r="V388" s="190"/>
      <c r="W388" s="131"/>
      <c r="X388" s="190"/>
      <c r="Y388" s="190"/>
      <c r="Z388" s="190"/>
      <c r="AA388" s="190"/>
      <c r="AB388" s="131"/>
      <c r="AC388" s="190"/>
      <c r="AD388" s="190"/>
      <c r="AE388" s="190"/>
      <c r="AF388" s="190"/>
      <c r="AG388" s="131"/>
      <c r="AH388" s="132"/>
      <c r="AI388" s="132"/>
      <c r="AJ388" s="132"/>
      <c r="AK388" s="132"/>
      <c r="AL388" s="131"/>
      <c r="AM388" s="132"/>
      <c r="AN388" s="132"/>
      <c r="AO388" s="132"/>
      <c r="AP388" s="132"/>
      <c r="AQ388" s="131"/>
      <c r="AR388" s="132"/>
      <c r="AS388" s="132"/>
      <c r="AT388" s="132"/>
      <c r="AU388" s="132"/>
      <c r="AV388" s="131"/>
      <c r="AW388" s="726">
        <v>49</v>
      </c>
      <c r="AX388" s="727">
        <v>39</v>
      </c>
      <c r="AY388" s="727">
        <v>41</v>
      </c>
      <c r="AZ388" s="727">
        <v>55</v>
      </c>
      <c r="BA388" s="728">
        <f>AVERAGE(AW388:AZ388)</f>
        <v>46</v>
      </c>
      <c r="BB388" s="727">
        <v>65</v>
      </c>
      <c r="BC388" s="727">
        <v>64</v>
      </c>
      <c r="BD388" s="727">
        <v>55</v>
      </c>
      <c r="BE388" s="727">
        <v>58</v>
      </c>
      <c r="BF388" s="728">
        <f>AVERAGE(BB388:BE388)</f>
        <v>60.5</v>
      </c>
      <c r="BG388" s="726">
        <v>64</v>
      </c>
      <c r="BH388" s="726">
        <v>75</v>
      </c>
      <c r="BI388" s="726">
        <v>58</v>
      </c>
      <c r="BJ388" s="726">
        <v>65</v>
      </c>
      <c r="BK388" s="728">
        <f>AVERAGE(BG388:BJ388)</f>
        <v>65.5</v>
      </c>
      <c r="BL388" s="727">
        <v>59</v>
      </c>
      <c r="BM388" s="727">
        <v>54</v>
      </c>
      <c r="BN388" s="727">
        <v>60.38</v>
      </c>
      <c r="BO388" s="727">
        <v>69.05</v>
      </c>
      <c r="BP388" s="728">
        <f>AVERAGE(BL388:BO388)</f>
        <v>60.6075</v>
      </c>
      <c r="BQ388" s="727">
        <v>83.02</v>
      </c>
      <c r="BR388" s="727">
        <f>BR387/BR386</f>
        <v>119.481764705882</v>
      </c>
      <c r="BS388" s="727">
        <v>138.6</v>
      </c>
      <c r="BT388" s="727">
        <f>BT387/BT386</f>
        <v>122.67</v>
      </c>
      <c r="BU388" s="728">
        <f>AVERAGE(BQ388:BT388)</f>
        <v>115.942941176471</v>
      </c>
      <c r="BV388" s="727">
        <f>BV387/BV386</f>
        <v>163.53</v>
      </c>
      <c r="BW388" s="727">
        <f>BW387/BW386</f>
        <v>163.437499999999</v>
      </c>
      <c r="BX388" s="727">
        <f>BX387/BX386</f>
        <v>179.61797752809</v>
      </c>
      <c r="BY388" s="727">
        <f>BY387/BY386</f>
        <v>193.813131313124</v>
      </c>
      <c r="BZ388" s="728">
        <f>AVERAGE(BV388:BY388)</f>
        <v>175.099652210303</v>
      </c>
      <c r="CA388" s="727">
        <v>221.22</v>
      </c>
      <c r="CB388" s="727">
        <v>267.31</v>
      </c>
      <c r="CC388" s="727">
        <v>332.99</v>
      </c>
      <c r="CD388" s="727">
        <v>351.0519</v>
      </c>
      <c r="CE388" s="728">
        <f>AVERAGE(CA388:CD388)</f>
        <v>293.142975</v>
      </c>
      <c r="CF388" s="727">
        <v>320.5594</v>
      </c>
      <c r="CG388" s="727">
        <f>(319.68*126.219+337.8*309.725+375.15*69.573)/(505.517)</f>
        <v>338.416128181644</v>
      </c>
      <c r="CH388" s="729">
        <f>(42.034*403.83+208.852*416.12+331.591*399.68)/582.479</f>
        <v>405.872787413795</v>
      </c>
      <c r="CI388" s="729">
        <f>(38.385*463.93+477.777*399.62+327.428*343.62)/843.59</f>
        <v>380.81059181593</v>
      </c>
      <c r="CJ388" s="730">
        <f>AVERAGE(CF388:CI388)</f>
        <v>361.414726852842</v>
      </c>
      <c r="CK388" s="729">
        <v>328</v>
      </c>
      <c r="CL388" s="729">
        <v>298.38</v>
      </c>
      <c r="CM388" s="729">
        <v>352.1</v>
      </c>
      <c r="CN388" s="729">
        <v>323.14</v>
      </c>
      <c r="CO388" s="730">
        <f>AVERAGE(CK388:CN388)</f>
        <v>325.405</v>
      </c>
      <c r="CP388" s="729">
        <v>336.37</v>
      </c>
      <c r="CQ388" s="729">
        <v>370.99</v>
      </c>
      <c r="CR388" s="729">
        <v>380.88</v>
      </c>
      <c r="CS388" s="729">
        <v>450</v>
      </c>
      <c r="CT388" s="730">
        <f>AVERAGE(CP388:CS388)</f>
        <v>384.56</v>
      </c>
      <c r="CU388" s="729">
        <v>395</v>
      </c>
      <c r="CV388" s="729">
        <v>310</v>
      </c>
      <c r="CW388" s="729">
        <v>259.29</v>
      </c>
      <c r="CX388" s="729">
        <f>(317785/938018*313.18)+(298348/938018*360.75)+(321885/938018*388.6)</f>
        <v>354.19091989706</v>
      </c>
      <c r="CY388" s="730">
        <f>AVERAGE(CU388:CX388)</f>
        <v>329.620229974265</v>
      </c>
      <c r="CZ388" s="729">
        <f>CZ387/CZ386</f>
        <v>318.684269017559</v>
      </c>
      <c r="DA388" s="729">
        <f>DA387/DA386</f>
        <v>255.666363636364</v>
      </c>
      <c r="DB388" s="729">
        <f>DB387/DB386</f>
        <v>190.908</v>
      </c>
      <c r="DC388" s="729">
        <f>DC387/DC386</f>
        <v>194.120714285714</v>
      </c>
      <c r="DD388" s="730">
        <f>AVERAGE(CZ388:DC388)</f>
        <v>239.844836734909</v>
      </c>
      <c r="DE388" s="729">
        <f>DE387/DE386</f>
        <v>164.434545454545</v>
      </c>
      <c r="DF388" s="729">
        <f>DF387/DF386</f>
        <v>123.462592592593</v>
      </c>
      <c r="DG388" s="729">
        <f>DF388*(1+DG389)</f>
        <v>111.116333333333</v>
      </c>
      <c r="DH388" s="729">
        <f>DG388*(1+DH389)</f>
        <v>122.227966666667</v>
      </c>
      <c r="DI388" s="730">
        <f>AVERAGE(DE388:DH388)</f>
        <v>130.310359511784</v>
      </c>
      <c r="DJ388" s="729">
        <f>DH388*(1+DJ389)</f>
        <v>124.672526</v>
      </c>
      <c r="DK388" s="729">
        <f>DJ388*(1+DK389)</f>
        <v>127.16597652</v>
      </c>
      <c r="DL388" s="729">
        <f>DK388*(1+DL389)</f>
        <v>129.7092960504</v>
      </c>
      <c r="DM388" s="729">
        <f>DL388*(1+DM389)</f>
        <v>132.303481971408</v>
      </c>
      <c r="DN388" s="730">
        <f>AVERAGE(DJ388:DM388)</f>
        <v>128.462820135452</v>
      </c>
      <c r="DO388" s="729">
        <f>DM388*(1+DO389)</f>
        <v>134.949551610836</v>
      </c>
      <c r="DP388" s="729">
        <f>DO388*(1+DP389)</f>
        <v>137.648542643053</v>
      </c>
      <c r="DQ388" s="729">
        <f>DP388*(1+DQ389)</f>
        <v>140.401513495914</v>
      </c>
      <c r="DR388" s="729">
        <f>DQ388*(1+DR389)</f>
        <v>143.209543765832</v>
      </c>
      <c r="DS388" s="730">
        <f>AVERAGE(DO388:DR388)</f>
        <v>139.052287878909</v>
      </c>
    </row>
    <row r="389" s="4" customFormat="1" spans="1:123">
      <c r="A389" s="345"/>
      <c r="B389" s="38" t="s">
        <v>276</v>
      </c>
      <c r="C389" s="138"/>
      <c r="D389" s="139"/>
      <c r="E389" s="139"/>
      <c r="F389" s="139"/>
      <c r="G389" s="139"/>
      <c r="H389" s="138"/>
      <c r="I389" s="139"/>
      <c r="J389" s="139"/>
      <c r="K389" s="139"/>
      <c r="L389" s="139"/>
      <c r="M389" s="138"/>
      <c r="N389" s="139"/>
      <c r="O389" s="139"/>
      <c r="P389" s="139"/>
      <c r="Q389" s="139"/>
      <c r="R389" s="138"/>
      <c r="S389" s="139"/>
      <c r="T389" s="139"/>
      <c r="U389" s="139"/>
      <c r="V389" s="139"/>
      <c r="W389" s="138"/>
      <c r="X389" s="139"/>
      <c r="Y389" s="139"/>
      <c r="Z389" s="139"/>
      <c r="AA389" s="139"/>
      <c r="AB389" s="138"/>
      <c r="AC389" s="139"/>
      <c r="AD389" s="139"/>
      <c r="AE389" s="139"/>
      <c r="AF389" s="139"/>
      <c r="AG389" s="138"/>
      <c r="AH389" s="139"/>
      <c r="AI389" s="139"/>
      <c r="AJ389" s="139"/>
      <c r="AK389" s="139"/>
      <c r="AL389" s="138"/>
      <c r="AM389" s="139"/>
      <c r="AN389" s="139"/>
      <c r="AO389" s="139"/>
      <c r="AP389" s="139"/>
      <c r="AQ389" s="138"/>
      <c r="AR389" s="139"/>
      <c r="AS389" s="139"/>
      <c r="AT389" s="139"/>
      <c r="AU389" s="139"/>
      <c r="AV389" s="138"/>
      <c r="AW389" s="139"/>
      <c r="AX389" s="139"/>
      <c r="AY389" s="139"/>
      <c r="AZ389" s="139"/>
      <c r="BA389" s="140"/>
      <c r="BB389" s="139"/>
      <c r="BC389" s="139"/>
      <c r="BD389" s="139"/>
      <c r="BE389" s="139"/>
      <c r="BF389" s="140">
        <f>BF388/BA388-1</f>
        <v>0.315217391304348</v>
      </c>
      <c r="BG389" s="139"/>
      <c r="BH389" s="139"/>
      <c r="BI389" s="139"/>
      <c r="BJ389" s="139"/>
      <c r="BK389" s="140">
        <f>BK388/BF388-1</f>
        <v>0.0826446280991735</v>
      </c>
      <c r="BL389" s="139"/>
      <c r="BM389" s="139"/>
      <c r="BN389" s="139"/>
      <c r="BO389" s="731"/>
      <c r="BP389" s="140">
        <f>BP388/BK388-1</f>
        <v>-0.0746946564885496</v>
      </c>
      <c r="BQ389" s="557"/>
      <c r="BR389" s="557"/>
      <c r="BS389" s="557"/>
      <c r="BT389" s="557"/>
      <c r="BU389" s="140">
        <f>BU388/BP388-1</f>
        <v>0.91301309535075</v>
      </c>
      <c r="BV389" s="557"/>
      <c r="BW389" s="557"/>
      <c r="BX389" s="557"/>
      <c r="BY389" s="557"/>
      <c r="BZ389" s="140">
        <f>BZ388/BU388-1</f>
        <v>0.510222618415323</v>
      </c>
      <c r="CA389" s="557"/>
      <c r="CB389" s="557"/>
      <c r="CC389" s="557"/>
      <c r="CD389" s="557"/>
      <c r="CE389" s="140">
        <f>CE388/BZ388-1</f>
        <v>0.67414938464824</v>
      </c>
      <c r="CF389" s="557"/>
      <c r="CG389" s="557"/>
      <c r="CH389" s="557"/>
      <c r="CI389" s="557"/>
      <c r="CJ389" s="140">
        <f>CJ388/CE388-1</f>
        <v>0.232895746018959</v>
      </c>
      <c r="CK389" s="557"/>
      <c r="CL389" s="557"/>
      <c r="CM389" s="557"/>
      <c r="CN389" s="557"/>
      <c r="CO389" s="140">
        <f>CO388/CJ388-1</f>
        <v>-0.0996354718757886</v>
      </c>
      <c r="CP389" s="557"/>
      <c r="CQ389" s="557"/>
      <c r="CR389" s="557"/>
      <c r="CS389" s="557"/>
      <c r="CT389" s="140">
        <f>CT388/CO388-1</f>
        <v>0.181788847743581</v>
      </c>
      <c r="CU389" s="557"/>
      <c r="CV389" s="557"/>
      <c r="CW389" s="557"/>
      <c r="CX389" s="557"/>
      <c r="CY389" s="140">
        <f>CY388/CT388-1</f>
        <v>-0.142863974479236</v>
      </c>
      <c r="CZ389" s="557"/>
      <c r="DA389" s="557"/>
      <c r="DB389" s="557"/>
      <c r="DC389" s="557"/>
      <c r="DD389" s="140">
        <f>DD388/CY388-1</f>
        <v>-0.272360083136781</v>
      </c>
      <c r="DE389" s="557"/>
      <c r="DF389" s="557"/>
      <c r="DG389" s="557">
        <v>-0.1</v>
      </c>
      <c r="DH389" s="557">
        <v>0.1</v>
      </c>
      <c r="DI389" s="140">
        <f>DI388/DD388-1</f>
        <v>-0.456688910690159</v>
      </c>
      <c r="DJ389" s="557">
        <v>0.02</v>
      </c>
      <c r="DK389" s="557">
        <v>0.02</v>
      </c>
      <c r="DL389" s="557">
        <v>0.02</v>
      </c>
      <c r="DM389" s="557">
        <v>0.02</v>
      </c>
      <c r="DN389" s="140">
        <f>DN388/DI388-1</f>
        <v>-0.0141779930870761</v>
      </c>
      <c r="DO389" s="557">
        <v>0.02</v>
      </c>
      <c r="DP389" s="557">
        <v>0.02</v>
      </c>
      <c r="DQ389" s="557">
        <v>0.02</v>
      </c>
      <c r="DR389" s="557">
        <v>0.02</v>
      </c>
      <c r="DS389" s="140">
        <f>DS388/DN388-1</f>
        <v>0.0824321600000002</v>
      </c>
    </row>
    <row r="390" spans="1:123">
      <c r="B390" s="732"/>
      <c r="C390" s="79"/>
      <c r="D390" s="733"/>
      <c r="E390" s="733"/>
      <c r="F390" s="733"/>
      <c r="G390" s="733"/>
      <c r="H390" s="79"/>
      <c r="I390" s="733"/>
      <c r="J390" s="733"/>
      <c r="K390" s="733"/>
      <c r="L390" s="733"/>
      <c r="M390" s="79"/>
      <c r="N390" s="733"/>
      <c r="O390" s="733"/>
      <c r="P390" s="733"/>
      <c r="Q390" s="733"/>
      <c r="R390" s="79"/>
      <c r="S390" s="733"/>
      <c r="T390" s="733"/>
      <c r="U390" s="733"/>
      <c r="V390" s="733"/>
      <c r="W390" s="79"/>
      <c r="X390" s="733"/>
      <c r="Y390" s="733"/>
      <c r="Z390" s="733"/>
      <c r="AA390" s="733"/>
      <c r="AB390" s="79"/>
      <c r="AC390" s="733"/>
      <c r="AD390" s="733"/>
      <c r="AE390" s="733"/>
      <c r="AF390" s="733"/>
      <c r="AG390" s="79"/>
      <c r="AH390" s="733"/>
      <c r="AI390" s="733"/>
      <c r="AJ390" s="733"/>
      <c r="AK390" s="733"/>
      <c r="AL390" s="79"/>
      <c r="AM390" s="733"/>
      <c r="AN390" s="733"/>
      <c r="AO390" s="733"/>
      <c r="AP390" s="733"/>
      <c r="AQ390" s="79"/>
      <c r="AR390" s="733"/>
      <c r="AS390" s="733"/>
      <c r="AT390" s="733"/>
      <c r="AU390" s="733"/>
      <c r="AV390" s="79"/>
      <c r="AW390" s="733"/>
      <c r="AX390" s="733"/>
      <c r="AY390" s="733"/>
      <c r="AZ390" s="733"/>
      <c r="BA390" s="79"/>
      <c r="BB390" s="733"/>
      <c r="BC390" s="733"/>
      <c r="BD390" s="733"/>
      <c r="BE390" s="733"/>
      <c r="BF390" s="79"/>
      <c r="BG390" s="733"/>
      <c r="BH390" s="733"/>
      <c r="BI390" s="733"/>
      <c r="BJ390" s="733"/>
      <c r="BK390" s="79"/>
      <c r="BL390" s="733"/>
      <c r="BM390" s="733"/>
      <c r="BN390" s="733"/>
      <c r="BO390" s="733"/>
      <c r="BP390" s="79"/>
      <c r="BQ390" s="733"/>
      <c r="BR390" s="733"/>
      <c r="BS390" s="733"/>
      <c r="BT390" s="733"/>
      <c r="BU390" s="79"/>
      <c r="BV390" s="733"/>
      <c r="BW390" s="733"/>
      <c r="BX390" s="733"/>
      <c r="BY390" s="733"/>
      <c r="BZ390" s="79"/>
      <c r="CA390" s="733"/>
      <c r="CB390" s="733"/>
      <c r="CC390" s="733"/>
      <c r="CD390" s="733"/>
      <c r="CE390" s="79"/>
      <c r="CF390" s="733"/>
      <c r="CG390" s="733"/>
      <c r="CH390" s="733"/>
      <c r="CI390" s="733"/>
      <c r="CJ390" s="79"/>
      <c r="CK390" s="733"/>
      <c r="CL390" s="733"/>
      <c r="CM390" s="733"/>
      <c r="CN390" s="733"/>
      <c r="CO390" s="79"/>
      <c r="CP390" s="733"/>
      <c r="CQ390" s="733"/>
      <c r="CR390" s="733"/>
      <c r="CS390" s="733"/>
      <c r="CT390" s="79"/>
      <c r="CU390" s="733"/>
      <c r="CV390" s="733"/>
      <c r="CW390" s="733"/>
      <c r="CX390" s="733"/>
      <c r="CY390" s="79"/>
      <c r="CZ390" s="733"/>
      <c r="DA390" s="733"/>
      <c r="DB390" s="733"/>
      <c r="DC390" s="733"/>
      <c r="DD390" s="79"/>
      <c r="DE390" s="733"/>
      <c r="DF390" s="733"/>
      <c r="DG390" s="733"/>
      <c r="DH390" s="733"/>
      <c r="DI390" s="79"/>
      <c r="DJ390" s="733"/>
      <c r="DK390" s="733"/>
      <c r="DL390" s="733"/>
      <c r="DM390" s="733"/>
      <c r="DN390" s="79"/>
      <c r="DO390" s="733"/>
      <c r="DP390" s="733"/>
      <c r="DQ390" s="733"/>
      <c r="DR390" s="733"/>
      <c r="DS390" s="79"/>
    </row>
  </sheetData>
  <pageMargins left="0.25" right="0.25" top="0.75" bottom="0.75" header="0.3" footer="0.3"/>
  <pageSetup paperSize="1" scale="11" fitToHeight="0" orientation="portrait"/>
  <headerFooter/>
  <customProperties>
    <customPr name="Qube.Worksheet.ID" r:id="rId1"/>
    <customPr name="Qube.Worksheet.Visibility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autoPageBreaks="0"/>
  </sheetPr>
  <dimension ref="B1:DS494"/>
  <sheetViews>
    <sheetView showGridLines="0" zoomScale="85" zoomScaleNormal="85" workbookViewId="0">
      <pane xSplit="2" ySplit="6" topLeftCell="BP7" activePane="bottomRight" state="frozen"/>
      <selection/>
      <selection pane="topRight"/>
      <selection pane="bottomLeft"/>
      <selection pane="bottomRight" activeCell="DI49" sqref="DI49"/>
    </sheetView>
  </sheetViews>
  <sheetFormatPr defaultColWidth="9.14423076923077" defaultRowHeight="15.2"/>
  <cols>
    <col min="1" max="1" width="2.71153846153846" style="6" customWidth="1"/>
    <col min="2" max="2" width="32.2884615384615" style="6" customWidth="1"/>
    <col min="3" max="3" width="9.85576923076923" style="6" customWidth="1"/>
    <col min="4" max="7" width="9.85576923076923" style="6" hidden="1" customWidth="1" outlineLevel="1"/>
    <col min="8" max="8" width="9.85576923076923" style="6" customWidth="1" collapsed="1"/>
    <col min="9" max="12" width="9.85576923076923" style="6" hidden="1" customWidth="1" outlineLevel="1"/>
    <col min="13" max="13" width="9.85576923076923" style="6" customWidth="1" collapsed="1"/>
    <col min="14" max="17" width="9.85576923076923" style="6" hidden="1" customWidth="1" outlineLevel="1"/>
    <col min="18" max="18" width="9.85576923076923" style="6" customWidth="1" collapsed="1"/>
    <col min="19" max="22" width="9.85576923076923" style="6" hidden="1" customWidth="1" outlineLevel="1"/>
    <col min="23" max="23" width="9.85576923076923" style="6" customWidth="1" collapsed="1"/>
    <col min="24" max="27" width="9.85576923076923" style="6" hidden="1" customWidth="1" outlineLevel="1"/>
    <col min="28" max="28" width="9.85576923076923" style="6" customWidth="1" collapsed="1"/>
    <col min="29" max="32" width="9.85576923076923" style="6" hidden="1" customWidth="1" outlineLevel="1"/>
    <col min="33" max="33" width="9.85576923076923" style="6" customWidth="1" collapsed="1"/>
    <col min="34" max="37" width="9.85576923076923" style="6" hidden="1" customWidth="1" outlineLevel="1"/>
    <col min="38" max="38" width="9.85576923076923" style="6" customWidth="1" collapsed="1"/>
    <col min="39" max="42" width="9.85576923076923" style="6" hidden="1" customWidth="1" outlineLevel="1"/>
    <col min="43" max="43" width="9.85576923076923" style="6" customWidth="1" collapsed="1"/>
    <col min="44" max="47" width="9.85576923076923" style="6" hidden="1" customWidth="1" outlineLevel="1"/>
    <col min="48" max="48" width="9.85576923076923" style="6" customWidth="1" collapsed="1"/>
    <col min="49" max="52" width="9.85576923076923" style="6" hidden="1" customWidth="1" outlineLevel="1"/>
    <col min="53" max="53" width="9.85576923076923" style="6" customWidth="1" collapsed="1"/>
    <col min="54" max="57" width="9.85576923076923" style="6" hidden="1" customWidth="1" outlineLevel="1"/>
    <col min="58" max="58" width="9.85576923076923" style="6" customWidth="1" collapsed="1"/>
    <col min="59" max="62" width="9.85576923076923" style="6" hidden="1" customWidth="1" outlineLevel="1"/>
    <col min="63" max="63" width="9.85576923076923" style="6" customWidth="1" collapsed="1"/>
    <col min="64" max="67" width="9.85576923076923" style="6" hidden="1" customWidth="1" outlineLevel="1"/>
    <col min="68" max="68" width="9.85576923076923" style="6" customWidth="1" collapsed="1"/>
    <col min="69" max="72" width="9.85576923076923" style="6" hidden="1" customWidth="1" outlineLevel="1"/>
    <col min="73" max="73" width="9.85576923076923" style="6" customWidth="1" collapsed="1"/>
    <col min="74" max="77" width="9.85576923076923" style="6" hidden="1" customWidth="1" outlineLevel="1"/>
    <col min="78" max="78" width="9.85576923076923" style="6" customWidth="1" collapsed="1"/>
    <col min="79" max="82" width="9.85576923076923" style="6" hidden="1" customWidth="1" outlineLevel="1"/>
    <col min="83" max="83" width="9.85576923076923" style="6" customWidth="1" collapsed="1"/>
    <col min="84" max="87" width="9.85576923076923" style="6" hidden="1" customWidth="1" outlineLevel="1"/>
    <col min="88" max="88" width="9.85576923076923" style="6" customWidth="1" collapsed="1"/>
    <col min="89" max="92" width="9.85576923076923" style="6" hidden="1" customWidth="1" outlineLevel="1"/>
    <col min="93" max="93" width="9.85576923076923" style="6" customWidth="1" collapsed="1"/>
    <col min="94" max="97" width="9.85576923076923" style="6" hidden="1" customWidth="1" outlineLevel="1"/>
    <col min="98" max="98" width="9.85576923076923" style="6" customWidth="1" collapsed="1"/>
    <col min="99" max="102" width="9.85576923076923" style="6" hidden="1" customWidth="1" outlineLevel="1"/>
    <col min="103" max="103" width="9.85576923076923" style="6" customWidth="1" collapsed="1"/>
    <col min="104" max="107" width="9.85576923076923" style="6" customWidth="1" outlineLevel="1"/>
    <col min="108" max="108" width="9.85576923076923" style="6" customWidth="1"/>
    <col min="109" max="112" width="9.85576923076923" style="6" customWidth="1" outlineLevel="1"/>
    <col min="113" max="113" width="9.85576923076923" style="6" customWidth="1"/>
    <col min="114" max="117" width="9.85576923076923" style="6" customWidth="1" outlineLevel="1"/>
    <col min="118" max="118" width="9.85576923076923" style="6" customWidth="1"/>
    <col min="119" max="122" width="9.85576923076923" style="6" customWidth="1" outlineLevel="1"/>
    <col min="123" max="123" width="9.85576923076923" style="6" customWidth="1"/>
    <col min="124" max="16384" width="9.14423076923077" style="6"/>
  </cols>
  <sheetData>
    <row r="1" ht="12.75" customHeight="1" spans="2:123">
      <c r="B1" s="97" t="s">
        <v>15</v>
      </c>
      <c r="C1" s="98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99"/>
      <c r="DE1" s="99"/>
      <c r="DF1" s="8"/>
      <c r="DG1" s="8"/>
      <c r="DH1" s="8"/>
      <c r="DI1" s="99"/>
      <c r="DJ1" s="99"/>
      <c r="DK1" s="8"/>
      <c r="DL1" s="8"/>
      <c r="DM1" s="8"/>
      <c r="DN1" s="99"/>
      <c r="DO1" s="99"/>
      <c r="DP1" s="8"/>
      <c r="DQ1" s="8"/>
      <c r="DR1" s="8"/>
      <c r="DS1" s="99"/>
    </row>
    <row r="2" spans="2:123">
      <c r="B2" s="100" t="s">
        <v>277</v>
      </c>
      <c r="C2" s="10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</row>
    <row r="3" spans="2:123">
      <c r="B3" s="104" t="s">
        <v>17</v>
      </c>
      <c r="C3" s="101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105"/>
      <c r="BR3" s="105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  <c r="CO3" s="106"/>
      <c r="CP3" s="106"/>
      <c r="CQ3" s="106"/>
      <c r="CR3" s="106"/>
      <c r="CS3" s="106"/>
      <c r="CT3" s="106"/>
      <c r="CU3" s="106"/>
      <c r="CV3" s="106"/>
      <c r="CW3" s="106"/>
      <c r="CX3" s="106"/>
      <c r="CY3" s="106"/>
      <c r="CZ3" s="106"/>
      <c r="DA3" s="106"/>
      <c r="DB3" s="106"/>
      <c r="DC3" s="106"/>
      <c r="DD3" s="107"/>
      <c r="DE3" s="107"/>
      <c r="DF3" s="106"/>
      <c r="DG3" s="106"/>
      <c r="DH3" s="106"/>
      <c r="DI3" s="107"/>
      <c r="DJ3" s="107"/>
      <c r="DK3" s="106"/>
      <c r="DL3" s="106"/>
      <c r="DM3" s="106"/>
      <c r="DN3" s="107"/>
      <c r="DO3" s="107"/>
      <c r="DP3" s="106"/>
      <c r="DQ3" s="106"/>
      <c r="DR3" s="106"/>
      <c r="DS3" s="107"/>
    </row>
    <row r="4" spans="2:123">
      <c r="B4" s="108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09"/>
      <c r="DC4" s="109"/>
      <c r="DD4" s="109"/>
      <c r="DE4" s="109"/>
      <c r="DF4" s="109"/>
      <c r="DG4" s="109"/>
      <c r="DH4" s="109"/>
      <c r="DI4" s="109"/>
      <c r="DJ4" s="109"/>
      <c r="DK4" s="109"/>
      <c r="DL4" s="109"/>
      <c r="DM4" s="109"/>
      <c r="DN4" s="109"/>
      <c r="DO4" s="109"/>
      <c r="DP4" s="109"/>
      <c r="DQ4" s="109"/>
      <c r="DR4" s="109"/>
      <c r="DS4" s="109"/>
    </row>
    <row r="5" spans="2:123">
      <c r="B5" s="33"/>
      <c r="C5" s="110" t="s">
        <v>278</v>
      </c>
      <c r="D5" s="111" t="s">
        <v>279</v>
      </c>
      <c r="E5" s="111" t="s">
        <v>280</v>
      </c>
      <c r="F5" s="111" t="s">
        <v>281</v>
      </c>
      <c r="G5" s="111" t="s">
        <v>278</v>
      </c>
      <c r="H5" s="110" t="s">
        <v>278</v>
      </c>
      <c r="I5" s="111" t="s">
        <v>279</v>
      </c>
      <c r="J5" s="111" t="s">
        <v>280</v>
      </c>
      <c r="K5" s="111" t="s">
        <v>281</v>
      </c>
      <c r="L5" s="111" t="s">
        <v>278</v>
      </c>
      <c r="M5" s="110" t="s">
        <v>278</v>
      </c>
      <c r="N5" s="111" t="s">
        <v>279</v>
      </c>
      <c r="O5" s="111" t="s">
        <v>280</v>
      </c>
      <c r="P5" s="111" t="s">
        <v>281</v>
      </c>
      <c r="Q5" s="111" t="s">
        <v>278</v>
      </c>
      <c r="R5" s="110" t="s">
        <v>278</v>
      </c>
      <c r="S5" s="111" t="s">
        <v>279</v>
      </c>
      <c r="T5" s="111" t="s">
        <v>280</v>
      </c>
      <c r="U5" s="111" t="s">
        <v>281</v>
      </c>
      <c r="V5" s="111" t="s">
        <v>278</v>
      </c>
      <c r="W5" s="110" t="s">
        <v>278</v>
      </c>
      <c r="X5" s="111" t="s">
        <v>279</v>
      </c>
      <c r="Y5" s="111" t="s">
        <v>280</v>
      </c>
      <c r="Z5" s="111" t="s">
        <v>281</v>
      </c>
      <c r="AA5" s="111" t="s">
        <v>278</v>
      </c>
      <c r="AB5" s="110" t="s">
        <v>278</v>
      </c>
      <c r="AC5" s="111" t="s">
        <v>279</v>
      </c>
      <c r="AD5" s="111" t="s">
        <v>280</v>
      </c>
      <c r="AE5" s="111" t="s">
        <v>281</v>
      </c>
      <c r="AF5" s="111" t="s">
        <v>278</v>
      </c>
      <c r="AG5" s="110" t="s">
        <v>278</v>
      </c>
      <c r="AH5" s="111" t="s">
        <v>279</v>
      </c>
      <c r="AI5" s="111" t="s">
        <v>280</v>
      </c>
      <c r="AJ5" s="111" t="s">
        <v>281</v>
      </c>
      <c r="AK5" s="111" t="s">
        <v>278</v>
      </c>
      <c r="AL5" s="110" t="s">
        <v>278</v>
      </c>
      <c r="AM5" s="111" t="s">
        <v>279</v>
      </c>
      <c r="AN5" s="111" t="s">
        <v>280</v>
      </c>
      <c r="AO5" s="111" t="s">
        <v>281</v>
      </c>
      <c r="AP5" s="111" t="s">
        <v>278</v>
      </c>
      <c r="AQ5" s="110" t="s">
        <v>278</v>
      </c>
      <c r="AR5" s="111" t="s">
        <v>279</v>
      </c>
      <c r="AS5" s="111" t="s">
        <v>280</v>
      </c>
      <c r="AT5" s="111" t="s">
        <v>281</v>
      </c>
      <c r="AU5" s="111" t="s">
        <v>278</v>
      </c>
      <c r="AV5" s="110" t="s">
        <v>278</v>
      </c>
      <c r="AW5" s="111" t="s">
        <v>279</v>
      </c>
      <c r="AX5" s="111" t="s">
        <v>280</v>
      </c>
      <c r="AY5" s="111" t="s">
        <v>281</v>
      </c>
      <c r="AZ5" s="111" t="s">
        <v>278</v>
      </c>
      <c r="BA5" s="110" t="s">
        <v>278</v>
      </c>
      <c r="BB5" s="111" t="s">
        <v>279</v>
      </c>
      <c r="BC5" s="111" t="s">
        <v>280</v>
      </c>
      <c r="BD5" s="111" t="s">
        <v>281</v>
      </c>
      <c r="BE5" s="111" t="s">
        <v>278</v>
      </c>
      <c r="BF5" s="110" t="s">
        <v>278</v>
      </c>
      <c r="BG5" s="111" t="s">
        <v>279</v>
      </c>
      <c r="BH5" s="111" t="s">
        <v>280</v>
      </c>
      <c r="BI5" s="111" t="s">
        <v>281</v>
      </c>
      <c r="BJ5" s="111" t="s">
        <v>278</v>
      </c>
      <c r="BK5" s="110" t="s">
        <v>278</v>
      </c>
      <c r="BL5" s="111" t="s">
        <v>279</v>
      </c>
      <c r="BM5" s="111" t="s">
        <v>280</v>
      </c>
      <c r="BN5" s="111" t="s">
        <v>281</v>
      </c>
      <c r="BO5" s="111" t="s">
        <v>278</v>
      </c>
      <c r="BP5" s="110" t="s">
        <v>278</v>
      </c>
      <c r="BQ5" s="111" t="s">
        <v>279</v>
      </c>
      <c r="BR5" s="111" t="s">
        <v>280</v>
      </c>
      <c r="BS5" s="111" t="s">
        <v>281</v>
      </c>
      <c r="BT5" s="111" t="s">
        <v>278</v>
      </c>
      <c r="BU5" s="110" t="s">
        <v>278</v>
      </c>
      <c r="BV5" s="111" t="s">
        <v>279</v>
      </c>
      <c r="BW5" s="111" t="s">
        <v>280</v>
      </c>
      <c r="BX5" s="111" t="s">
        <v>281</v>
      </c>
      <c r="BY5" s="111" t="s">
        <v>278</v>
      </c>
      <c r="BZ5" s="110" t="s">
        <v>278</v>
      </c>
      <c r="CA5" s="111" t="s">
        <v>279</v>
      </c>
      <c r="CB5" s="111" t="s">
        <v>280</v>
      </c>
      <c r="CC5" s="111" t="s">
        <v>281</v>
      </c>
      <c r="CD5" s="111" t="s">
        <v>278</v>
      </c>
      <c r="CE5" s="110" t="s">
        <v>278</v>
      </c>
      <c r="CF5" s="111" t="s">
        <v>279</v>
      </c>
      <c r="CG5" s="111" t="s">
        <v>280</v>
      </c>
      <c r="CH5" s="111" t="s">
        <v>281</v>
      </c>
      <c r="CI5" s="111" t="s">
        <v>278</v>
      </c>
      <c r="CJ5" s="110" t="s">
        <v>278</v>
      </c>
      <c r="CK5" s="111" t="s">
        <v>279</v>
      </c>
      <c r="CL5" s="111" t="s">
        <v>280</v>
      </c>
      <c r="CM5" s="111" t="s">
        <v>281</v>
      </c>
      <c r="CN5" s="111" t="s">
        <v>278</v>
      </c>
      <c r="CO5" s="110" t="s">
        <v>278</v>
      </c>
      <c r="CP5" s="111" t="s">
        <v>279</v>
      </c>
      <c r="CQ5" s="111" t="s">
        <v>280</v>
      </c>
      <c r="CR5" s="111" t="s">
        <v>281</v>
      </c>
      <c r="CS5" s="111" t="s">
        <v>278</v>
      </c>
      <c r="CT5" s="110" t="s">
        <v>278</v>
      </c>
      <c r="CU5" s="111" t="s">
        <v>279</v>
      </c>
      <c r="CV5" s="111" t="s">
        <v>280</v>
      </c>
      <c r="CW5" s="111" t="s">
        <v>281</v>
      </c>
      <c r="CX5" s="111" t="s">
        <v>278</v>
      </c>
      <c r="CY5" s="110" t="s">
        <v>278</v>
      </c>
      <c r="CZ5" s="111" t="s">
        <v>279</v>
      </c>
      <c r="DA5" s="111" t="s">
        <v>280</v>
      </c>
      <c r="DB5" s="111" t="s">
        <v>281</v>
      </c>
      <c r="DC5" s="111" t="s">
        <v>278</v>
      </c>
      <c r="DD5" s="110" t="s">
        <v>278</v>
      </c>
      <c r="DE5" s="111" t="s">
        <v>279</v>
      </c>
      <c r="DF5" s="111" t="s">
        <v>280</v>
      </c>
      <c r="DG5" s="111" t="s">
        <v>281</v>
      </c>
      <c r="DH5" s="111" t="s">
        <v>278</v>
      </c>
      <c r="DI5" s="110" t="s">
        <v>278</v>
      </c>
      <c r="DJ5" s="111" t="s">
        <v>279</v>
      </c>
      <c r="DK5" s="111" t="s">
        <v>280</v>
      </c>
      <c r="DL5" s="111" t="s">
        <v>281</v>
      </c>
      <c r="DM5" s="111" t="s">
        <v>278</v>
      </c>
      <c r="DN5" s="110" t="s">
        <v>278</v>
      </c>
      <c r="DO5" s="111" t="s">
        <v>279</v>
      </c>
      <c r="DP5" s="111" t="s">
        <v>280</v>
      </c>
      <c r="DQ5" s="111" t="s">
        <v>281</v>
      </c>
      <c r="DR5" s="111" t="s">
        <v>278</v>
      </c>
      <c r="DS5" s="110" t="s">
        <v>278</v>
      </c>
    </row>
    <row r="6" spans="2:123">
      <c r="B6" s="33"/>
      <c r="C6" s="110" t="s">
        <v>18</v>
      </c>
      <c r="D6" s="111" t="s">
        <v>19</v>
      </c>
      <c r="E6" s="111" t="s">
        <v>20</v>
      </c>
      <c r="F6" s="111" t="s">
        <v>21</v>
      </c>
      <c r="G6" s="111" t="s">
        <v>22</v>
      </c>
      <c r="H6" s="110" t="s">
        <v>23</v>
      </c>
      <c r="I6" s="111" t="s">
        <v>19</v>
      </c>
      <c r="J6" s="111" t="s">
        <v>20</v>
      </c>
      <c r="K6" s="111" t="s">
        <v>21</v>
      </c>
      <c r="L6" s="111" t="s">
        <v>22</v>
      </c>
      <c r="M6" s="110" t="s">
        <v>24</v>
      </c>
      <c r="N6" s="111" t="s">
        <v>19</v>
      </c>
      <c r="O6" s="111" t="s">
        <v>20</v>
      </c>
      <c r="P6" s="111" t="s">
        <v>21</v>
      </c>
      <c r="Q6" s="111" t="s">
        <v>22</v>
      </c>
      <c r="R6" s="110" t="s">
        <v>25</v>
      </c>
      <c r="S6" s="111" t="s">
        <v>19</v>
      </c>
      <c r="T6" s="111" t="s">
        <v>20</v>
      </c>
      <c r="U6" s="111" t="s">
        <v>21</v>
      </c>
      <c r="V6" s="111" t="s">
        <v>22</v>
      </c>
      <c r="W6" s="110" t="s">
        <v>26</v>
      </c>
      <c r="X6" s="111" t="s">
        <v>19</v>
      </c>
      <c r="Y6" s="111" t="s">
        <v>20</v>
      </c>
      <c r="Z6" s="111" t="s">
        <v>21</v>
      </c>
      <c r="AA6" s="111" t="s">
        <v>22</v>
      </c>
      <c r="AB6" s="110" t="s">
        <v>27</v>
      </c>
      <c r="AC6" s="111" t="s">
        <v>19</v>
      </c>
      <c r="AD6" s="111" t="s">
        <v>20</v>
      </c>
      <c r="AE6" s="111" t="s">
        <v>21</v>
      </c>
      <c r="AF6" s="111" t="s">
        <v>22</v>
      </c>
      <c r="AG6" s="110" t="s">
        <v>28</v>
      </c>
      <c r="AH6" s="111" t="s">
        <v>19</v>
      </c>
      <c r="AI6" s="111" t="s">
        <v>20</v>
      </c>
      <c r="AJ6" s="111" t="s">
        <v>21</v>
      </c>
      <c r="AK6" s="111" t="s">
        <v>22</v>
      </c>
      <c r="AL6" s="110" t="s">
        <v>29</v>
      </c>
      <c r="AM6" s="111" t="s">
        <v>19</v>
      </c>
      <c r="AN6" s="111" t="s">
        <v>20</v>
      </c>
      <c r="AO6" s="111" t="s">
        <v>21</v>
      </c>
      <c r="AP6" s="111" t="s">
        <v>22</v>
      </c>
      <c r="AQ6" s="110" t="s">
        <v>282</v>
      </c>
      <c r="AR6" s="111" t="s">
        <v>19</v>
      </c>
      <c r="AS6" s="111" t="s">
        <v>20</v>
      </c>
      <c r="AT6" s="111" t="s">
        <v>21</v>
      </c>
      <c r="AU6" s="111" t="s">
        <v>22</v>
      </c>
      <c r="AV6" s="110" t="s">
        <v>31</v>
      </c>
      <c r="AW6" s="111" t="s">
        <v>19</v>
      </c>
      <c r="AX6" s="111" t="s">
        <v>20</v>
      </c>
      <c r="AY6" s="111" t="s">
        <v>21</v>
      </c>
      <c r="AZ6" s="111" t="s">
        <v>22</v>
      </c>
      <c r="BA6" s="110" t="s">
        <v>32</v>
      </c>
      <c r="BB6" s="111" t="s">
        <v>19</v>
      </c>
      <c r="BC6" s="111" t="s">
        <v>20</v>
      </c>
      <c r="BD6" s="111" t="s">
        <v>21</v>
      </c>
      <c r="BE6" s="111" t="s">
        <v>22</v>
      </c>
      <c r="BF6" s="110" t="s">
        <v>33</v>
      </c>
      <c r="BG6" s="111" t="s">
        <v>19</v>
      </c>
      <c r="BH6" s="111" t="s">
        <v>20</v>
      </c>
      <c r="BI6" s="111" t="s">
        <v>21</v>
      </c>
      <c r="BJ6" s="111" t="s">
        <v>22</v>
      </c>
      <c r="BK6" s="110" t="s">
        <v>34</v>
      </c>
      <c r="BL6" s="111" t="s">
        <v>19</v>
      </c>
      <c r="BM6" s="111" t="s">
        <v>20</v>
      </c>
      <c r="BN6" s="111" t="s">
        <v>21</v>
      </c>
      <c r="BO6" s="111" t="s">
        <v>22</v>
      </c>
      <c r="BP6" s="110" t="s">
        <v>35</v>
      </c>
      <c r="BQ6" s="111" t="s">
        <v>19</v>
      </c>
      <c r="BR6" s="111" t="s">
        <v>20</v>
      </c>
      <c r="BS6" s="111" t="s">
        <v>21</v>
      </c>
      <c r="BT6" s="111" t="s">
        <v>22</v>
      </c>
      <c r="BU6" s="110" t="s">
        <v>36</v>
      </c>
      <c r="BV6" s="111" t="s">
        <v>19</v>
      </c>
      <c r="BW6" s="111" t="s">
        <v>20</v>
      </c>
      <c r="BX6" s="111" t="s">
        <v>21</v>
      </c>
      <c r="BY6" s="111" t="s">
        <v>22</v>
      </c>
      <c r="BZ6" s="110" t="s">
        <v>37</v>
      </c>
      <c r="CA6" s="111" t="s">
        <v>19</v>
      </c>
      <c r="CB6" s="111" t="s">
        <v>20</v>
      </c>
      <c r="CC6" s="111" t="s">
        <v>21</v>
      </c>
      <c r="CD6" s="111" t="s">
        <v>22</v>
      </c>
      <c r="CE6" s="110" t="s">
        <v>38</v>
      </c>
      <c r="CF6" s="111" t="s">
        <v>19</v>
      </c>
      <c r="CG6" s="111" t="s">
        <v>20</v>
      </c>
      <c r="CH6" s="111" t="s">
        <v>21</v>
      </c>
      <c r="CI6" s="111" t="s">
        <v>22</v>
      </c>
      <c r="CJ6" s="110" t="s">
        <v>39</v>
      </c>
      <c r="CK6" s="111" t="s">
        <v>19</v>
      </c>
      <c r="CL6" s="111" t="s">
        <v>20</v>
      </c>
      <c r="CM6" s="111" t="s">
        <v>21</v>
      </c>
      <c r="CN6" s="111" t="s">
        <v>22</v>
      </c>
      <c r="CO6" s="110" t="s">
        <v>41</v>
      </c>
      <c r="CP6" s="111" t="s">
        <v>19</v>
      </c>
      <c r="CQ6" s="111" t="s">
        <v>20</v>
      </c>
      <c r="CR6" s="111" t="s">
        <v>21</v>
      </c>
      <c r="CS6" s="111" t="s">
        <v>22</v>
      </c>
      <c r="CT6" s="110" t="s">
        <v>42</v>
      </c>
      <c r="CU6" s="111" t="s">
        <v>19</v>
      </c>
      <c r="CV6" s="111" t="s">
        <v>20</v>
      </c>
      <c r="CW6" s="111" t="s">
        <v>21</v>
      </c>
      <c r="CX6" s="111" t="s">
        <v>22</v>
      </c>
      <c r="CY6" s="110" t="s">
        <v>43</v>
      </c>
      <c r="CZ6" s="111" t="s">
        <v>19</v>
      </c>
      <c r="DA6" s="111" t="s">
        <v>20</v>
      </c>
      <c r="DB6" s="111" t="s">
        <v>21</v>
      </c>
      <c r="DC6" s="111" t="s">
        <v>22</v>
      </c>
      <c r="DD6" s="110" t="s">
        <v>44</v>
      </c>
      <c r="DE6" s="111" t="s">
        <v>19</v>
      </c>
      <c r="DF6" s="111" t="s">
        <v>20</v>
      </c>
      <c r="DG6" s="111" t="s">
        <v>40</v>
      </c>
      <c r="DH6" s="111" t="s">
        <v>45</v>
      </c>
      <c r="DI6" s="110" t="s">
        <v>46</v>
      </c>
      <c r="DJ6" s="111" t="s">
        <v>47</v>
      </c>
      <c r="DK6" s="111" t="s">
        <v>48</v>
      </c>
      <c r="DL6" s="111" t="s">
        <v>40</v>
      </c>
      <c r="DM6" s="111" t="s">
        <v>45</v>
      </c>
      <c r="DN6" s="110" t="s">
        <v>49</v>
      </c>
      <c r="DO6" s="111" t="s">
        <v>47</v>
      </c>
      <c r="DP6" s="111" t="s">
        <v>48</v>
      </c>
      <c r="DQ6" s="111" t="s">
        <v>40</v>
      </c>
      <c r="DR6" s="111" t="s">
        <v>45</v>
      </c>
      <c r="DS6" s="110" t="s">
        <v>50</v>
      </c>
    </row>
    <row r="7" s="84" customFormat="1" spans="2:123">
      <c r="B7" s="112" t="s">
        <v>283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3"/>
      <c r="CP7" s="113"/>
      <c r="CQ7" s="113"/>
      <c r="CR7" s="113"/>
      <c r="CS7" s="113"/>
      <c r="CT7" s="113"/>
      <c r="CU7" s="113"/>
      <c r="CV7" s="113"/>
      <c r="CW7" s="113"/>
      <c r="CX7" s="113"/>
      <c r="CY7" s="113"/>
      <c r="CZ7" s="113"/>
      <c r="DA7" s="113"/>
      <c r="DB7" s="113"/>
      <c r="DC7" s="113"/>
      <c r="DD7" s="113"/>
      <c r="DE7" s="113"/>
      <c r="DF7" s="113"/>
      <c r="DG7" s="113"/>
      <c r="DH7" s="113"/>
      <c r="DI7" s="113"/>
      <c r="DJ7" s="113"/>
      <c r="DK7" s="113"/>
      <c r="DL7" s="113"/>
      <c r="DM7" s="113"/>
      <c r="DN7" s="113"/>
      <c r="DO7" s="113"/>
      <c r="DP7" s="113"/>
      <c r="DQ7" s="113"/>
      <c r="DR7" s="113"/>
      <c r="DS7" s="114"/>
    </row>
    <row r="8" spans="2:123">
      <c r="B8" s="115" t="s">
        <v>284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7"/>
      <c r="DO8" s="117"/>
      <c r="DP8" s="116"/>
      <c r="DQ8" s="116"/>
      <c r="DR8" s="116"/>
      <c r="DS8" s="118"/>
    </row>
    <row r="9" spans="2:123">
      <c r="B9" s="33"/>
      <c r="C9" s="119"/>
      <c r="D9" s="120"/>
      <c r="E9" s="120"/>
      <c r="F9" s="120"/>
      <c r="G9" s="120"/>
      <c r="H9" s="119"/>
      <c r="I9" s="120"/>
      <c r="J9" s="120"/>
      <c r="K9" s="120"/>
      <c r="L9" s="120"/>
      <c r="M9" s="119"/>
      <c r="N9" s="120"/>
      <c r="O9" s="120"/>
      <c r="P9" s="120"/>
      <c r="Q9" s="120"/>
      <c r="R9" s="119"/>
      <c r="S9" s="120"/>
      <c r="T9" s="120"/>
      <c r="U9" s="120"/>
      <c r="V9" s="120"/>
      <c r="W9" s="119"/>
      <c r="X9" s="120"/>
      <c r="Y9" s="120"/>
      <c r="Z9" s="120"/>
      <c r="AA9" s="120"/>
      <c r="AB9" s="119"/>
      <c r="AC9" s="120"/>
      <c r="AD9" s="120"/>
      <c r="AE9" s="120"/>
      <c r="AF9" s="120"/>
      <c r="AG9" s="119"/>
      <c r="AH9" s="120"/>
      <c r="AI9" s="120"/>
      <c r="AJ9" s="120"/>
      <c r="AK9" s="120"/>
      <c r="AL9" s="119"/>
      <c r="AM9" s="120"/>
      <c r="AN9" s="120"/>
      <c r="AO9" s="120"/>
      <c r="AP9" s="120"/>
      <c r="AQ9" s="119"/>
      <c r="AR9" s="120"/>
      <c r="AS9" s="120"/>
      <c r="AT9" s="120"/>
      <c r="AU9" s="120"/>
      <c r="AV9" s="119"/>
      <c r="AW9" s="120"/>
      <c r="AX9" s="120"/>
      <c r="AY9" s="120"/>
      <c r="AZ9" s="120"/>
      <c r="BA9" s="119"/>
      <c r="BB9" s="120"/>
      <c r="BC9" s="120"/>
      <c r="BD9" s="120"/>
      <c r="BE9" s="120"/>
      <c r="BF9" s="119"/>
      <c r="BG9" s="120"/>
      <c r="BH9" s="120"/>
      <c r="BI9" s="120"/>
      <c r="BJ9" s="120"/>
      <c r="BK9" s="119"/>
      <c r="BL9" s="120"/>
      <c r="BM9" s="120"/>
      <c r="BN9" s="120"/>
      <c r="BO9" s="120"/>
      <c r="BP9" s="119"/>
      <c r="BQ9" s="120"/>
      <c r="BR9" s="120"/>
      <c r="BS9" s="120"/>
      <c r="BT9" s="120"/>
      <c r="BU9" s="119"/>
      <c r="BV9" s="120"/>
      <c r="BW9" s="120"/>
      <c r="BX9" s="120"/>
      <c r="BY9" s="120"/>
      <c r="BZ9" s="119"/>
      <c r="CA9" s="120"/>
      <c r="CB9" s="120"/>
      <c r="CC9" s="120"/>
      <c r="CD9" s="120"/>
      <c r="CE9" s="119"/>
      <c r="CF9" s="120"/>
      <c r="CG9" s="120"/>
      <c r="CH9" s="120"/>
      <c r="CI9" s="120"/>
      <c r="CJ9" s="119"/>
      <c r="CK9" s="120"/>
      <c r="CL9" s="120"/>
      <c r="CM9" s="120"/>
      <c r="CN9" s="120"/>
      <c r="CO9" s="119"/>
      <c r="CP9" s="120"/>
      <c r="CQ9" s="121"/>
      <c r="CR9" s="120"/>
      <c r="CS9" s="120"/>
      <c r="CT9" s="119"/>
      <c r="CU9" s="120"/>
      <c r="CV9" s="120"/>
      <c r="CW9" s="120"/>
      <c r="CX9" s="120"/>
      <c r="CY9" s="119"/>
      <c r="CZ9" s="120"/>
      <c r="DA9" s="120"/>
      <c r="DB9" s="120"/>
      <c r="DC9" s="122"/>
      <c r="DD9" s="119"/>
      <c r="DE9" s="120"/>
      <c r="DF9" s="120"/>
      <c r="DG9" s="120"/>
      <c r="DH9" s="120"/>
      <c r="DI9" s="119"/>
      <c r="DJ9" s="120"/>
      <c r="DK9" s="120"/>
      <c r="DL9" s="120"/>
      <c r="DM9" s="120"/>
      <c r="DN9" s="119"/>
      <c r="DO9" s="120"/>
      <c r="DP9" s="120"/>
      <c r="DQ9" s="120"/>
      <c r="DR9" s="120"/>
      <c r="DS9" s="119"/>
    </row>
    <row r="10" spans="2:123">
      <c r="B10" s="123" t="s">
        <v>57</v>
      </c>
      <c r="C10" s="124"/>
      <c r="D10" s="125"/>
      <c r="E10" s="125"/>
      <c r="F10" s="125"/>
      <c r="G10" s="125"/>
      <c r="H10" s="124"/>
      <c r="I10" s="125"/>
      <c r="J10" s="125"/>
      <c r="K10" s="125"/>
      <c r="L10" s="125"/>
      <c r="M10" s="124"/>
      <c r="N10" s="125"/>
      <c r="O10" s="125"/>
      <c r="P10" s="125"/>
      <c r="Q10" s="125"/>
      <c r="R10" s="124"/>
      <c r="S10" s="125"/>
      <c r="T10" s="125"/>
      <c r="U10" s="125"/>
      <c r="V10" s="125"/>
      <c r="W10" s="124"/>
      <c r="X10" s="125"/>
      <c r="Y10" s="125"/>
      <c r="Z10" s="125"/>
      <c r="AA10" s="125"/>
      <c r="AB10" s="124"/>
      <c r="AC10" s="125"/>
      <c r="AD10" s="125"/>
      <c r="AE10" s="125"/>
      <c r="AF10" s="125"/>
      <c r="AG10" s="124"/>
      <c r="AH10" s="125"/>
      <c r="AI10" s="125"/>
      <c r="AJ10" s="125"/>
      <c r="AK10" s="125"/>
      <c r="AL10" s="124"/>
      <c r="AM10" s="125"/>
      <c r="AN10" s="125"/>
      <c r="AO10" s="125"/>
      <c r="AP10" s="125"/>
      <c r="AQ10" s="124"/>
      <c r="AR10" s="125"/>
      <c r="AS10" s="125"/>
      <c r="AT10" s="125"/>
      <c r="AU10" s="125"/>
      <c r="AV10" s="124"/>
      <c r="AW10" s="125"/>
      <c r="AX10" s="125"/>
      <c r="AY10" s="125"/>
      <c r="AZ10" s="125"/>
      <c r="BA10" s="124"/>
      <c r="BB10" s="125"/>
      <c r="BC10" s="125"/>
      <c r="BD10" s="125"/>
      <c r="BE10" s="125"/>
      <c r="BF10" s="124"/>
      <c r="BG10" s="125"/>
      <c r="BH10" s="125"/>
      <c r="BI10" s="125"/>
      <c r="BJ10" s="125"/>
      <c r="BK10" s="124"/>
      <c r="BL10" s="125"/>
      <c r="BM10" s="125"/>
      <c r="BN10" s="125"/>
      <c r="BO10" s="125"/>
      <c r="BP10" s="124"/>
      <c r="BQ10" s="125"/>
      <c r="BR10" s="125"/>
      <c r="BS10" s="125"/>
      <c r="BT10" s="125"/>
      <c r="BU10" s="124"/>
      <c r="BV10" s="125"/>
      <c r="BW10" s="125"/>
      <c r="BX10" s="125"/>
      <c r="BY10" s="125"/>
      <c r="BZ10" s="124"/>
      <c r="CA10" s="125"/>
      <c r="CB10" s="125"/>
      <c r="CC10" s="125"/>
      <c r="CD10" s="125"/>
      <c r="CE10" s="124"/>
      <c r="CF10" s="125"/>
      <c r="CG10" s="125"/>
      <c r="CH10" s="125"/>
      <c r="CI10" s="125"/>
      <c r="CJ10" s="124"/>
      <c r="CK10" s="125"/>
      <c r="CL10" s="125"/>
      <c r="CM10" s="125"/>
      <c r="CN10" s="125"/>
      <c r="CO10" s="124">
        <f>CO173</f>
        <v>6817.454</v>
      </c>
      <c r="CP10" s="126">
        <f t="shared" ref="CP10:DN10" si="0">CP173</f>
        <v>1567.738</v>
      </c>
      <c r="CQ10" s="126">
        <f t="shared" si="0"/>
        <v>1719.773</v>
      </c>
      <c r="CR10" s="126">
        <f t="shared" si="0"/>
        <v>1732.398</v>
      </c>
      <c r="CS10" s="126">
        <f t="shared" si="0"/>
        <v>2611.738</v>
      </c>
      <c r="CT10" s="127">
        <f t="shared" si="0"/>
        <v>7631.647</v>
      </c>
      <c r="CU10" s="128">
        <f t="shared" si="0"/>
        <v>1622.264</v>
      </c>
      <c r="CV10" s="128">
        <f t="shared" si="0"/>
        <v>1741.433</v>
      </c>
      <c r="CW10" s="128">
        <f t="shared" si="0"/>
        <v>1770.382</v>
      </c>
      <c r="CX10" s="128">
        <f t="shared" si="0"/>
        <v>2794.077</v>
      </c>
      <c r="CY10" s="129">
        <f t="shared" si="0"/>
        <v>7928.156</v>
      </c>
      <c r="CZ10" s="128">
        <f t="shared" si="0"/>
        <v>1674.558</v>
      </c>
      <c r="DA10" s="128">
        <f t="shared" si="0"/>
        <v>1758.217</v>
      </c>
      <c r="DB10" s="128">
        <f t="shared" ref="DB10:DD10" si="1">DB173</f>
        <v>1733.382</v>
      </c>
      <c r="DC10" s="128">
        <f t="shared" si="1"/>
        <v>2680.887</v>
      </c>
      <c r="DD10" s="129">
        <f t="shared" si="1"/>
        <v>7847.044</v>
      </c>
      <c r="DE10" s="128">
        <f t="shared" si="0"/>
        <v>1621.21</v>
      </c>
      <c r="DF10" s="128">
        <f t="shared" si="0"/>
        <v>1616.772</v>
      </c>
      <c r="DG10" s="128">
        <f t="shared" si="0"/>
        <v>1457.74651308858</v>
      </c>
      <c r="DH10" s="128">
        <f t="shared" si="0"/>
        <v>2287.00683108209</v>
      </c>
      <c r="DI10" s="129">
        <f t="shared" si="0"/>
        <v>6982.73534417067</v>
      </c>
      <c r="DJ10" s="128">
        <f t="shared" si="0"/>
        <v>1479.64154918466</v>
      </c>
      <c r="DK10" s="128">
        <f t="shared" si="0"/>
        <v>1493.17880856044</v>
      </c>
      <c r="DL10" s="128">
        <f t="shared" si="0"/>
        <v>1386.82066969996</v>
      </c>
      <c r="DM10" s="128">
        <f t="shared" si="0"/>
        <v>2175.6889522417</v>
      </c>
      <c r="DN10" s="129">
        <f t="shared" si="0"/>
        <v>6535.32997968676</v>
      </c>
      <c r="DO10" s="128">
        <f t="shared" ref="DO10:DS10" si="2">DO173</f>
        <v>1429.22413343467</v>
      </c>
      <c r="DP10" s="128">
        <f t="shared" si="2"/>
        <v>1442.27289717936</v>
      </c>
      <c r="DQ10" s="128">
        <f t="shared" si="2"/>
        <v>1339.49064317442</v>
      </c>
      <c r="DR10" s="128">
        <f t="shared" si="2"/>
        <v>2101.39713436028</v>
      </c>
      <c r="DS10" s="129">
        <f t="shared" si="2"/>
        <v>6312.38480814872</v>
      </c>
    </row>
    <row r="11" spans="2:123">
      <c r="B11" s="123" t="s">
        <v>58</v>
      </c>
      <c r="C11" s="124"/>
      <c r="D11" s="125"/>
      <c r="E11" s="125"/>
      <c r="F11" s="125"/>
      <c r="G11" s="125"/>
      <c r="H11" s="124"/>
      <c r="I11" s="125"/>
      <c r="J11" s="125"/>
      <c r="K11" s="125"/>
      <c r="L11" s="125"/>
      <c r="M11" s="124"/>
      <c r="N11" s="125"/>
      <c r="O11" s="125"/>
      <c r="P11" s="125"/>
      <c r="Q11" s="125"/>
      <c r="R11" s="124"/>
      <c r="S11" s="125"/>
      <c r="T11" s="125"/>
      <c r="U11" s="125"/>
      <c r="V11" s="125"/>
      <c r="W11" s="124"/>
      <c r="X11" s="125"/>
      <c r="Y11" s="125"/>
      <c r="Z11" s="125"/>
      <c r="AA11" s="125"/>
      <c r="AB11" s="124"/>
      <c r="AC11" s="125"/>
      <c r="AD11" s="125"/>
      <c r="AE11" s="125"/>
      <c r="AF11" s="125"/>
      <c r="AG11" s="124"/>
      <c r="AH11" s="125"/>
      <c r="AI11" s="125"/>
      <c r="AJ11" s="125"/>
      <c r="AK11" s="125"/>
      <c r="AL11" s="124"/>
      <c r="AM11" s="125"/>
      <c r="AN11" s="125"/>
      <c r="AO11" s="125"/>
      <c r="AP11" s="125"/>
      <c r="AQ11" s="124"/>
      <c r="AR11" s="125"/>
      <c r="AS11" s="125"/>
      <c r="AT11" s="125"/>
      <c r="AU11" s="125"/>
      <c r="AV11" s="124"/>
      <c r="AW11" s="125"/>
      <c r="AX11" s="125"/>
      <c r="AY11" s="125"/>
      <c r="AZ11" s="125"/>
      <c r="BA11" s="124"/>
      <c r="BB11" s="125"/>
      <c r="BC11" s="125"/>
      <c r="BD11" s="125"/>
      <c r="BE11" s="125"/>
      <c r="BF11" s="124"/>
      <c r="BG11" s="125"/>
      <c r="BH11" s="125"/>
      <c r="BI11" s="125"/>
      <c r="BJ11" s="125"/>
      <c r="BK11" s="124"/>
      <c r="BL11" s="125"/>
      <c r="BM11" s="125"/>
      <c r="BN11" s="125"/>
      <c r="BO11" s="125"/>
      <c r="BP11" s="124"/>
      <c r="BQ11" s="125"/>
      <c r="BR11" s="125"/>
      <c r="BS11" s="125"/>
      <c r="BT11" s="125"/>
      <c r="BU11" s="124"/>
      <c r="BV11" s="125"/>
      <c r="BW11" s="125"/>
      <c r="BX11" s="125"/>
      <c r="BY11" s="125"/>
      <c r="BZ11" s="124"/>
      <c r="CA11" s="125"/>
      <c r="CB11" s="125"/>
      <c r="CC11" s="125"/>
      <c r="CD11" s="125"/>
      <c r="CE11" s="124"/>
      <c r="CF11" s="125"/>
      <c r="CG11" s="125"/>
      <c r="CH11" s="125"/>
      <c r="CI11" s="125"/>
      <c r="CJ11" s="124"/>
      <c r="CK11" s="125"/>
      <c r="CL11" s="125"/>
      <c r="CM11" s="125"/>
      <c r="CN11" s="125"/>
      <c r="CO11" s="124">
        <f>CO236</f>
        <v>576.503</v>
      </c>
      <c r="CP11" s="126">
        <f t="shared" ref="CP11:DN11" si="3">CP236</f>
        <v>210.068</v>
      </c>
      <c r="CQ11" s="126">
        <f t="shared" si="3"/>
        <v>234.445</v>
      </c>
      <c r="CR11" s="126">
        <f t="shared" si="3"/>
        <v>228.595</v>
      </c>
      <c r="CS11" s="126">
        <f t="shared" si="3"/>
        <v>290.652</v>
      </c>
      <c r="CT11" s="127">
        <f t="shared" si="3"/>
        <v>963.76</v>
      </c>
      <c r="CU11" s="128">
        <f t="shared" si="3"/>
        <v>303.786</v>
      </c>
      <c r="CV11" s="128">
        <f t="shared" si="3"/>
        <v>314.189</v>
      </c>
      <c r="CW11" s="128">
        <f t="shared" si="3"/>
        <v>318.338</v>
      </c>
      <c r="CX11" s="128">
        <f t="shared" si="3"/>
        <v>425.024</v>
      </c>
      <c r="CY11" s="129">
        <f t="shared" si="3"/>
        <v>1361.337</v>
      </c>
      <c r="CZ11" s="128">
        <f t="shared" si="3"/>
        <v>368.101</v>
      </c>
      <c r="DA11" s="128">
        <f t="shared" si="3"/>
        <v>392.898</v>
      </c>
      <c r="DB11" s="128">
        <f t="shared" ref="DB11" si="4">DB236</f>
        <v>465.362</v>
      </c>
      <c r="DC11" s="128">
        <f t="shared" si="3"/>
        <v>528.438</v>
      </c>
      <c r="DD11" s="129">
        <f t="shared" si="3"/>
        <v>1754.799</v>
      </c>
      <c r="DE11" s="128">
        <f t="shared" si="3"/>
        <v>478.395</v>
      </c>
      <c r="DF11" s="128">
        <f t="shared" si="3"/>
        <v>407.095</v>
      </c>
      <c r="DG11" s="128">
        <f t="shared" si="3"/>
        <v>478.957182418417</v>
      </c>
      <c r="DH11" s="128">
        <f t="shared" si="3"/>
        <v>537.218951537724</v>
      </c>
      <c r="DI11" s="129">
        <f t="shared" si="3"/>
        <v>1901.66613395614</v>
      </c>
      <c r="DJ11" s="128">
        <f t="shared" si="3"/>
        <v>498.594861412174</v>
      </c>
      <c r="DK11" s="128">
        <f t="shared" si="3"/>
        <v>428.331521289553</v>
      </c>
      <c r="DL11" s="128">
        <f t="shared" si="3"/>
        <v>513.995261368857</v>
      </c>
      <c r="DM11" s="128">
        <f t="shared" si="3"/>
        <v>573.140024135138</v>
      </c>
      <c r="DN11" s="129">
        <f t="shared" si="3"/>
        <v>2014.06166820572</v>
      </c>
      <c r="DO11" s="128">
        <f t="shared" ref="DO11:DS11" si="5">DO236</f>
        <v>541.797645709735</v>
      </c>
      <c r="DP11" s="128">
        <f t="shared" si="5"/>
        <v>465.185879267175</v>
      </c>
      <c r="DQ11" s="128">
        <f t="shared" si="5"/>
        <v>557.737307081268</v>
      </c>
      <c r="DR11" s="128">
        <f t="shared" si="5"/>
        <v>621.147594473587</v>
      </c>
      <c r="DS11" s="129">
        <f t="shared" si="5"/>
        <v>2185.86842653177</v>
      </c>
    </row>
    <row r="12" spans="2:123">
      <c r="B12" s="123" t="s">
        <v>59</v>
      </c>
      <c r="C12" s="124"/>
      <c r="D12" s="125"/>
      <c r="E12" s="125"/>
      <c r="F12" s="125"/>
      <c r="G12" s="125"/>
      <c r="H12" s="124"/>
      <c r="I12" s="125"/>
      <c r="J12" s="125"/>
      <c r="K12" s="125"/>
      <c r="L12" s="125"/>
      <c r="M12" s="124"/>
      <c r="N12" s="125"/>
      <c r="O12" s="125"/>
      <c r="P12" s="125"/>
      <c r="Q12" s="125"/>
      <c r="R12" s="124"/>
      <c r="S12" s="125"/>
      <c r="T12" s="125"/>
      <c r="U12" s="125"/>
      <c r="V12" s="125"/>
      <c r="W12" s="124"/>
      <c r="X12" s="125"/>
      <c r="Y12" s="125"/>
      <c r="Z12" s="125"/>
      <c r="AA12" s="125"/>
      <c r="AB12" s="124"/>
      <c r="AC12" s="125"/>
      <c r="AD12" s="125"/>
      <c r="AE12" s="125"/>
      <c r="AF12" s="125"/>
      <c r="AG12" s="124"/>
      <c r="AH12" s="125"/>
      <c r="AI12" s="125"/>
      <c r="AJ12" s="125"/>
      <c r="AK12" s="125"/>
      <c r="AL12" s="124"/>
      <c r="AM12" s="125"/>
      <c r="AN12" s="125"/>
      <c r="AO12" s="125"/>
      <c r="AP12" s="125"/>
      <c r="AQ12" s="124"/>
      <c r="AR12" s="125"/>
      <c r="AS12" s="125"/>
      <c r="AT12" s="125"/>
      <c r="AU12" s="125"/>
      <c r="AV12" s="124"/>
      <c r="AW12" s="125"/>
      <c r="AX12" s="125"/>
      <c r="AY12" s="125"/>
      <c r="AZ12" s="125"/>
      <c r="BA12" s="124"/>
      <c r="BB12" s="125"/>
      <c r="BC12" s="125"/>
      <c r="BD12" s="125"/>
      <c r="BE12" s="125"/>
      <c r="BF12" s="124"/>
      <c r="BG12" s="125"/>
      <c r="BH12" s="125"/>
      <c r="BI12" s="125"/>
      <c r="BJ12" s="125"/>
      <c r="BK12" s="124"/>
      <c r="BL12" s="125"/>
      <c r="BM12" s="125"/>
      <c r="BN12" s="125"/>
      <c r="BO12" s="125"/>
      <c r="BP12" s="124"/>
      <c r="BQ12" s="125"/>
      <c r="BR12" s="125"/>
      <c r="BS12" s="125"/>
      <c r="BT12" s="125"/>
      <c r="BU12" s="124"/>
      <c r="BV12" s="125"/>
      <c r="BW12" s="125"/>
      <c r="BX12" s="125"/>
      <c r="BY12" s="125"/>
      <c r="BZ12" s="124"/>
      <c r="CA12" s="125"/>
      <c r="CB12" s="125"/>
      <c r="CC12" s="125"/>
      <c r="CD12" s="125"/>
      <c r="CE12" s="124"/>
      <c r="CF12" s="125"/>
      <c r="CG12" s="125"/>
      <c r="CH12" s="125"/>
      <c r="CI12" s="125"/>
      <c r="CJ12" s="124"/>
      <c r="CK12" s="125"/>
      <c r="CL12" s="125"/>
      <c r="CM12" s="125"/>
      <c r="CN12" s="125"/>
      <c r="CO12" s="124">
        <f>CO294</f>
        <v>716.561</v>
      </c>
      <c r="CP12" s="126">
        <f t="shared" ref="CP12:DN12" si="6">CP294</f>
        <v>222.986</v>
      </c>
      <c r="CQ12" s="126">
        <f t="shared" si="6"/>
        <v>254.947</v>
      </c>
      <c r="CR12" s="126">
        <f t="shared" si="6"/>
        <v>243.225</v>
      </c>
      <c r="CS12" s="126">
        <f t="shared" si="6"/>
        <v>302.713</v>
      </c>
      <c r="CT12" s="127">
        <f t="shared" si="6"/>
        <v>1023.871</v>
      </c>
      <c r="CU12" s="128">
        <f t="shared" si="6"/>
        <v>282.841</v>
      </c>
      <c r="CV12" s="128">
        <f t="shared" si="6"/>
        <v>315.456</v>
      </c>
      <c r="CW12" s="128">
        <f t="shared" si="6"/>
        <v>307.94</v>
      </c>
      <c r="CX12" s="128">
        <f t="shared" si="6"/>
        <v>392.396</v>
      </c>
      <c r="CY12" s="129">
        <f t="shared" si="6"/>
        <v>1298.633</v>
      </c>
      <c r="CZ12" s="128">
        <f t="shared" si="6"/>
        <v>328.001</v>
      </c>
      <c r="DA12" s="128">
        <f t="shared" si="6"/>
        <v>374.104</v>
      </c>
      <c r="DB12" s="128">
        <f t="shared" ref="DB12" si="7">DB294</f>
        <v>367.176</v>
      </c>
      <c r="DC12" s="128">
        <f t="shared" si="6"/>
        <v>431.476</v>
      </c>
      <c r="DD12" s="129">
        <f t="shared" si="6"/>
        <v>1500.757</v>
      </c>
      <c r="DE12" s="128">
        <f t="shared" si="6"/>
        <v>371.998</v>
      </c>
      <c r="DF12" s="128">
        <f t="shared" si="6"/>
        <v>391.764</v>
      </c>
      <c r="DG12" s="128">
        <f t="shared" si="6"/>
        <v>378.887648275862</v>
      </c>
      <c r="DH12" s="128">
        <f t="shared" si="6"/>
        <v>439.551526123457</v>
      </c>
      <c r="DI12" s="129">
        <f t="shared" si="6"/>
        <v>1582.20117439932</v>
      </c>
      <c r="DJ12" s="128">
        <f t="shared" si="6"/>
        <v>382.81976</v>
      </c>
      <c r="DK12" s="128">
        <f t="shared" si="6"/>
        <v>408.187682435821</v>
      </c>
      <c r="DL12" s="128">
        <f t="shared" si="6"/>
        <v>404.332708382032</v>
      </c>
      <c r="DM12" s="128">
        <f t="shared" si="6"/>
        <v>472.192105333942</v>
      </c>
      <c r="DN12" s="129">
        <f t="shared" si="6"/>
        <v>1667.5322561518</v>
      </c>
      <c r="DO12" s="128">
        <f t="shared" ref="DO12:DS12" si="8">DO294</f>
        <v>420.97636812538</v>
      </c>
      <c r="DP12" s="128">
        <f t="shared" si="8"/>
        <v>448.778624996183</v>
      </c>
      <c r="DQ12" s="128">
        <f t="shared" si="8"/>
        <v>444.356999009458</v>
      </c>
      <c r="DR12" s="128">
        <f t="shared" si="8"/>
        <v>518.621661273106</v>
      </c>
      <c r="DS12" s="129">
        <f t="shared" si="8"/>
        <v>1832.73365340413</v>
      </c>
    </row>
    <row r="13" s="3" customFormat="1" spans="2:123">
      <c r="B13" s="130" t="s">
        <v>285</v>
      </c>
      <c r="C13" s="131">
        <f>SUM(C28:C32)</f>
        <v>40.749</v>
      </c>
      <c r="D13" s="132">
        <f t="shared" ref="D13:BO13" si="9">SUM(D28,D30,D32)</f>
        <v>15.63</v>
      </c>
      <c r="E13" s="132">
        <f t="shared" si="9"/>
        <v>17.126</v>
      </c>
      <c r="F13" s="132">
        <f t="shared" si="9"/>
        <v>19.984</v>
      </c>
      <c r="G13" s="132">
        <f t="shared" si="9"/>
        <v>31.389093</v>
      </c>
      <c r="H13" s="131">
        <f t="shared" si="9"/>
        <v>84.129093</v>
      </c>
      <c r="I13" s="132">
        <f t="shared" si="9"/>
        <v>28.184</v>
      </c>
      <c r="J13" s="132">
        <f t="shared" si="9"/>
        <v>32.517437</v>
      </c>
      <c r="K13" s="132">
        <f t="shared" si="9"/>
        <v>35.967615</v>
      </c>
      <c r="L13" s="132">
        <f t="shared" si="9"/>
        <v>52.215782</v>
      </c>
      <c r="M13" s="131">
        <f t="shared" si="9"/>
        <v>148.884834</v>
      </c>
      <c r="N13" s="132">
        <f t="shared" si="9"/>
        <v>44.789456</v>
      </c>
      <c r="O13" s="132">
        <f t="shared" si="9"/>
        <v>58.680944</v>
      </c>
      <c r="P13" s="132">
        <f t="shared" si="9"/>
        <v>66.15028</v>
      </c>
      <c r="Q13" s="132">
        <f t="shared" si="9"/>
        <v>105.092648</v>
      </c>
      <c r="R13" s="131">
        <f t="shared" si="9"/>
        <v>274.713328</v>
      </c>
      <c r="S13" s="132">
        <f t="shared" si="9"/>
        <v>78.167494</v>
      </c>
      <c r="T13" s="132">
        <f t="shared" si="9"/>
        <v>85.484223</v>
      </c>
      <c r="U13" s="132">
        <f t="shared" si="9"/>
        <v>87.047135</v>
      </c>
      <c r="V13" s="132">
        <f t="shared" si="9"/>
        <v>103.921</v>
      </c>
      <c r="W13" s="131">
        <f t="shared" si="9"/>
        <v>354.619852</v>
      </c>
      <c r="X13" s="132">
        <f t="shared" si="9"/>
        <v>81.68</v>
      </c>
      <c r="Y13" s="132">
        <f t="shared" si="9"/>
        <v>97.721</v>
      </c>
      <c r="Z13" s="132">
        <f t="shared" si="9"/>
        <v>112.891</v>
      </c>
      <c r="AA13" s="132">
        <f t="shared" si="9"/>
        <v>160.606</v>
      </c>
      <c r="AB13" s="131">
        <f t="shared" si="9"/>
        <v>452.898</v>
      </c>
      <c r="AC13" s="132">
        <f t="shared" si="9"/>
        <v>138.297</v>
      </c>
      <c r="AD13" s="132">
        <f t="shared" si="9"/>
        <v>152.208</v>
      </c>
      <c r="AE13" s="132">
        <f t="shared" si="9"/>
        <v>175.8</v>
      </c>
      <c r="AF13" s="132">
        <f t="shared" si="9"/>
        <v>245.399</v>
      </c>
      <c r="AG13" s="131">
        <f t="shared" si="9"/>
        <v>711.704</v>
      </c>
      <c r="AH13" s="132">
        <f t="shared" si="9"/>
        <v>186.78</v>
      </c>
      <c r="AI13" s="132">
        <f t="shared" si="9"/>
        <v>212.323</v>
      </c>
      <c r="AJ13" s="132">
        <f t="shared" si="9"/>
        <v>230.216</v>
      </c>
      <c r="AK13" s="132">
        <f t="shared" si="9"/>
        <v>371.52</v>
      </c>
      <c r="AL13" s="131">
        <f t="shared" si="9"/>
        <v>1000.839</v>
      </c>
      <c r="AM13" s="132">
        <f t="shared" si="9"/>
        <v>285.698</v>
      </c>
      <c r="AN13" s="132">
        <f t="shared" si="9"/>
        <v>282.634</v>
      </c>
      <c r="AO13" s="132">
        <f t="shared" si="9"/>
        <v>316.537</v>
      </c>
      <c r="AP13" s="132">
        <f t="shared" si="9"/>
        <v>485.525</v>
      </c>
      <c r="AQ13" s="131">
        <f t="shared" si="9"/>
        <v>1370.394</v>
      </c>
      <c r="AR13" s="132">
        <f t="shared" si="9"/>
        <v>345.782</v>
      </c>
      <c r="AS13" s="132">
        <f t="shared" si="9"/>
        <v>344.513</v>
      </c>
      <c r="AT13" s="132">
        <f t="shared" si="9"/>
        <v>379.9</v>
      </c>
      <c r="AU13" s="132">
        <f t="shared" si="9"/>
        <v>520.993</v>
      </c>
      <c r="AV13" s="131">
        <f t="shared" si="9"/>
        <v>1591.188</v>
      </c>
      <c r="AW13" s="132">
        <f t="shared" si="9"/>
        <v>384.618</v>
      </c>
      <c r="AX13" s="132">
        <f t="shared" si="9"/>
        <v>390.727</v>
      </c>
      <c r="AY13" s="132">
        <f t="shared" si="9"/>
        <v>419.396</v>
      </c>
      <c r="AZ13" s="132">
        <f t="shared" si="9"/>
        <v>602.469</v>
      </c>
      <c r="BA13" s="131">
        <f t="shared" si="9"/>
        <v>1797.21</v>
      </c>
      <c r="BB13" s="132">
        <f t="shared" si="9"/>
        <v>423.544</v>
      </c>
      <c r="BC13" s="132">
        <f t="shared" si="9"/>
        <v>453.01</v>
      </c>
      <c r="BD13" s="132">
        <f t="shared" si="9"/>
        <v>479.693</v>
      </c>
      <c r="BE13" s="132">
        <f t="shared" si="9"/>
        <v>704.276</v>
      </c>
      <c r="BF13" s="131">
        <f t="shared" si="9"/>
        <v>2060.523</v>
      </c>
      <c r="BG13" s="132">
        <f t="shared" si="9"/>
        <v>495.516</v>
      </c>
      <c r="BH13" s="132">
        <f t="shared" si="9"/>
        <v>514.52</v>
      </c>
      <c r="BI13" s="132">
        <f t="shared" si="9"/>
        <v>544.416</v>
      </c>
      <c r="BJ13" s="132">
        <f t="shared" si="9"/>
        <v>789.94</v>
      </c>
      <c r="BK13" s="131">
        <f t="shared" si="9"/>
        <v>2344.392</v>
      </c>
      <c r="BL13" s="132">
        <f t="shared" si="9"/>
        <v>520.307</v>
      </c>
      <c r="BM13" s="132">
        <f t="shared" si="9"/>
        <v>581.054</v>
      </c>
      <c r="BN13" s="132">
        <f t="shared" si="9"/>
        <v>619.034</v>
      </c>
      <c r="BO13" s="132">
        <f t="shared" si="9"/>
        <v>928.78</v>
      </c>
      <c r="BP13" s="131">
        <f t="shared" ref="BP13:CN13" si="10">SUM(BP28,BP30,BP32)</f>
        <v>2649.175</v>
      </c>
      <c r="BQ13" s="132">
        <f t="shared" si="10"/>
        <v>649.66</v>
      </c>
      <c r="BR13" s="132">
        <f t="shared" si="10"/>
        <v>723.5</v>
      </c>
      <c r="BS13" s="132">
        <f t="shared" si="10"/>
        <v>747.655</v>
      </c>
      <c r="BT13" s="132">
        <f t="shared" si="10"/>
        <v>1167.504</v>
      </c>
      <c r="BU13" s="131">
        <f t="shared" si="10"/>
        <v>3288.319</v>
      </c>
      <c r="BV13" s="132">
        <f t="shared" si="10"/>
        <v>782.315</v>
      </c>
      <c r="BW13" s="132">
        <f t="shared" si="10"/>
        <v>883.352</v>
      </c>
      <c r="BX13" s="132">
        <f t="shared" si="10"/>
        <v>916.1</v>
      </c>
      <c r="BY13" s="132">
        <f t="shared" si="10"/>
        <v>1397.5</v>
      </c>
      <c r="BZ13" s="131">
        <f t="shared" si="10"/>
        <v>3979.267</v>
      </c>
      <c r="CA13" s="132">
        <f t="shared" si="10"/>
        <v>651.962</v>
      </c>
      <c r="CB13" s="132">
        <f t="shared" si="10"/>
        <v>902.939</v>
      </c>
      <c r="CC13" s="132">
        <f t="shared" si="10"/>
        <v>1117.426</v>
      </c>
      <c r="CD13" s="132">
        <f t="shared" si="10"/>
        <v>1729.552</v>
      </c>
      <c r="CE13" s="131">
        <f t="shared" si="10"/>
        <v>4401.879</v>
      </c>
      <c r="CF13" s="132">
        <f t="shared" si="10"/>
        <v>1226.476</v>
      </c>
      <c r="CG13" s="132">
        <f t="shared" si="10"/>
        <v>1450.618</v>
      </c>
      <c r="CH13" s="132">
        <f t="shared" si="10"/>
        <v>1450.421</v>
      </c>
      <c r="CI13" s="132">
        <f t="shared" si="10"/>
        <v>2129.102</v>
      </c>
      <c r="CJ13" s="131">
        <f t="shared" si="10"/>
        <v>6256.617</v>
      </c>
      <c r="CK13" s="132">
        <f t="shared" si="10"/>
        <v>1613.463</v>
      </c>
      <c r="CL13" s="132">
        <f t="shared" si="10"/>
        <v>1868.328</v>
      </c>
      <c r="CM13" s="132">
        <f t="shared" si="10"/>
        <v>1856.889</v>
      </c>
      <c r="CN13" s="132">
        <f t="shared" si="10"/>
        <v>2771.838</v>
      </c>
      <c r="CO13" s="131">
        <f t="shared" ref="CO13:DA13" si="11">SUM(CO10:CO12)</f>
        <v>8110.518</v>
      </c>
      <c r="CP13" s="133">
        <f t="shared" si="11"/>
        <v>2000.792</v>
      </c>
      <c r="CQ13" s="133">
        <f t="shared" si="11"/>
        <v>2209.165</v>
      </c>
      <c r="CR13" s="133">
        <f t="shared" si="11"/>
        <v>2204.218</v>
      </c>
      <c r="CS13" s="133">
        <f t="shared" si="11"/>
        <v>3205.103</v>
      </c>
      <c r="CT13" s="134">
        <f t="shared" si="11"/>
        <v>9619.278</v>
      </c>
      <c r="CU13" s="135">
        <f t="shared" si="11"/>
        <v>2208.891</v>
      </c>
      <c r="CV13" s="135">
        <f t="shared" si="11"/>
        <v>2371.078</v>
      </c>
      <c r="CW13" s="135">
        <f t="shared" si="11"/>
        <v>2396.66</v>
      </c>
      <c r="CX13" s="135">
        <f t="shared" si="11"/>
        <v>3611.497</v>
      </c>
      <c r="CY13" s="136">
        <f t="shared" si="11"/>
        <v>10588.126</v>
      </c>
      <c r="CZ13" s="135">
        <f t="shared" si="11"/>
        <v>2370.66</v>
      </c>
      <c r="DA13" s="135">
        <f t="shared" si="11"/>
        <v>2525.219</v>
      </c>
      <c r="DB13" s="137">
        <f t="shared" ref="DB13" si="12">SUM(DB10:DB12)</f>
        <v>2565.92</v>
      </c>
      <c r="DC13" s="137">
        <f t="shared" ref="DC13:DN13" si="13">SUM(DC10:DC12)</f>
        <v>3640.801</v>
      </c>
      <c r="DD13" s="136">
        <f t="shared" si="13"/>
        <v>11102.6</v>
      </c>
      <c r="DE13" s="137">
        <f t="shared" si="13"/>
        <v>2471.603</v>
      </c>
      <c r="DF13" s="137">
        <f t="shared" si="13"/>
        <v>2415.631</v>
      </c>
      <c r="DG13" s="135">
        <f t="shared" si="13"/>
        <v>2315.59134378286</v>
      </c>
      <c r="DH13" s="135">
        <f t="shared" si="13"/>
        <v>3263.77730874327</v>
      </c>
      <c r="DI13" s="136">
        <f t="shared" si="13"/>
        <v>10466.6026525261</v>
      </c>
      <c r="DJ13" s="135">
        <f t="shared" si="13"/>
        <v>2361.05617059684</v>
      </c>
      <c r="DK13" s="135">
        <f t="shared" si="13"/>
        <v>2329.69801228581</v>
      </c>
      <c r="DL13" s="135">
        <f t="shared" si="13"/>
        <v>2305.14863945084</v>
      </c>
      <c r="DM13" s="135">
        <f t="shared" si="13"/>
        <v>3221.02108171078</v>
      </c>
      <c r="DN13" s="136">
        <f t="shared" si="13"/>
        <v>10216.9239040443</v>
      </c>
      <c r="DO13" s="135">
        <f t="shared" ref="DO13:DS13" si="14">SUM(DO10:DO12)</f>
        <v>2391.99814726978</v>
      </c>
      <c r="DP13" s="135">
        <f t="shared" si="14"/>
        <v>2356.23740144272</v>
      </c>
      <c r="DQ13" s="135">
        <f t="shared" si="14"/>
        <v>2341.58494926514</v>
      </c>
      <c r="DR13" s="135">
        <f t="shared" si="14"/>
        <v>3241.16639010697</v>
      </c>
      <c r="DS13" s="136">
        <f t="shared" si="14"/>
        <v>10330.9868880846</v>
      </c>
    </row>
    <row r="14" s="85" customFormat="1" spans="2:123">
      <c r="B14" s="38" t="s">
        <v>69</v>
      </c>
      <c r="C14" s="138"/>
      <c r="D14" s="139"/>
      <c r="E14" s="139"/>
      <c r="F14" s="139"/>
      <c r="G14" s="139"/>
      <c r="H14" s="140">
        <f t="shared" ref="H14:AM14" si="15">H13/C13-1</f>
        <v>1.06456828388427</v>
      </c>
      <c r="I14" s="141">
        <f t="shared" si="15"/>
        <v>0.803198976327575</v>
      </c>
      <c r="J14" s="141">
        <f t="shared" si="15"/>
        <v>0.898717563937872</v>
      </c>
      <c r="K14" s="141">
        <f t="shared" si="15"/>
        <v>0.799820606485188</v>
      </c>
      <c r="L14" s="141">
        <f t="shared" si="15"/>
        <v>0.663500821766338</v>
      </c>
      <c r="M14" s="140">
        <f t="shared" si="15"/>
        <v>0.769718758289715</v>
      </c>
      <c r="N14" s="141">
        <f t="shared" si="15"/>
        <v>0.589180244110133</v>
      </c>
      <c r="O14" s="141">
        <f t="shared" si="15"/>
        <v>0.80459929852405</v>
      </c>
      <c r="P14" s="141">
        <f t="shared" si="15"/>
        <v>0.839162257491913</v>
      </c>
      <c r="Q14" s="141">
        <f t="shared" si="15"/>
        <v>1.0126606166695</v>
      </c>
      <c r="R14" s="140">
        <f t="shared" si="15"/>
        <v>0.845139767560206</v>
      </c>
      <c r="S14" s="141">
        <f t="shared" si="15"/>
        <v>0.745220884129514</v>
      </c>
      <c r="T14" s="141">
        <f t="shared" si="15"/>
        <v>0.456762914379837</v>
      </c>
      <c r="U14" s="141">
        <f t="shared" si="15"/>
        <v>0.315899721059382</v>
      </c>
      <c r="V14" s="141">
        <f t="shared" si="15"/>
        <v>-0.0111487151793906</v>
      </c>
      <c r="W14" s="140">
        <f t="shared" si="15"/>
        <v>0.290872396260294</v>
      </c>
      <c r="X14" s="141">
        <f t="shared" si="15"/>
        <v>0.0449356352654726</v>
      </c>
      <c r="Y14" s="141">
        <f t="shared" si="15"/>
        <v>0.143146613147551</v>
      </c>
      <c r="Z14" s="141">
        <f t="shared" si="15"/>
        <v>0.296895067252932</v>
      </c>
      <c r="AA14" s="141">
        <f t="shared" si="15"/>
        <v>0.54546241856795</v>
      </c>
      <c r="AB14" s="140">
        <f t="shared" si="15"/>
        <v>0.277136622345666</v>
      </c>
      <c r="AC14" s="141">
        <f t="shared" si="15"/>
        <v>0.693156219392752</v>
      </c>
      <c r="AD14" s="141">
        <f t="shared" si="15"/>
        <v>0.557577184023905</v>
      </c>
      <c r="AE14" s="141">
        <f t="shared" si="15"/>
        <v>0.557254342684536</v>
      </c>
      <c r="AF14" s="141">
        <f t="shared" si="15"/>
        <v>0.527956614323251</v>
      </c>
      <c r="AG14" s="140">
        <f t="shared" si="15"/>
        <v>0.571444342876321</v>
      </c>
      <c r="AH14" s="141">
        <f t="shared" si="15"/>
        <v>0.350571595913143</v>
      </c>
      <c r="AI14" s="141">
        <f t="shared" si="15"/>
        <v>0.394952959108588</v>
      </c>
      <c r="AJ14" s="141">
        <f t="shared" si="15"/>
        <v>0.309533560864619</v>
      </c>
      <c r="AK14" s="141">
        <f t="shared" si="15"/>
        <v>0.513942599603095</v>
      </c>
      <c r="AL14" s="140">
        <f t="shared" si="15"/>
        <v>0.406257376662208</v>
      </c>
      <c r="AM14" s="141">
        <f t="shared" si="15"/>
        <v>0.529596316522111</v>
      </c>
      <c r="AN14" s="141">
        <f t="shared" ref="AN14:BS14" si="16">AN13/AI13-1</f>
        <v>0.331151123524065</v>
      </c>
      <c r="AO14" s="141">
        <f t="shared" si="16"/>
        <v>0.374956562532578</v>
      </c>
      <c r="AP14" s="141">
        <f t="shared" si="16"/>
        <v>0.306861003445306</v>
      </c>
      <c r="AQ14" s="140">
        <f t="shared" si="16"/>
        <v>0.369245203274453</v>
      </c>
      <c r="AR14" s="141">
        <f t="shared" si="16"/>
        <v>0.210305987441284</v>
      </c>
      <c r="AS14" s="141">
        <f t="shared" si="16"/>
        <v>0.218936858268998</v>
      </c>
      <c r="AT14" s="141">
        <f t="shared" si="16"/>
        <v>0.200175650871778</v>
      </c>
      <c r="AU14" s="141">
        <f t="shared" si="16"/>
        <v>0.0730508212759382</v>
      </c>
      <c r="AV14" s="140">
        <f t="shared" si="16"/>
        <v>0.161117167763432</v>
      </c>
      <c r="AW14" s="141">
        <f t="shared" si="16"/>
        <v>0.112313538587896</v>
      </c>
      <c r="AX14" s="141">
        <f t="shared" si="16"/>
        <v>0.134142978639413</v>
      </c>
      <c r="AY14" s="141">
        <f t="shared" si="16"/>
        <v>0.103964201105554</v>
      </c>
      <c r="AZ14" s="141">
        <f t="shared" si="16"/>
        <v>0.156385978314487</v>
      </c>
      <c r="BA14" s="140">
        <f t="shared" si="16"/>
        <v>0.12947684371677</v>
      </c>
      <c r="BB14" s="141">
        <f t="shared" si="16"/>
        <v>0.101206911793</v>
      </c>
      <c r="BC14" s="141">
        <f t="shared" si="16"/>
        <v>0.159402856726052</v>
      </c>
      <c r="BD14" s="141">
        <f t="shared" si="16"/>
        <v>0.1437710421654</v>
      </c>
      <c r="BE14" s="141">
        <f t="shared" si="16"/>
        <v>0.168982968418292</v>
      </c>
      <c r="BF14" s="140">
        <f t="shared" si="16"/>
        <v>0.146512093745305</v>
      </c>
      <c r="BG14" s="141">
        <f t="shared" si="16"/>
        <v>0.1699280358121</v>
      </c>
      <c r="BH14" s="141">
        <f t="shared" si="16"/>
        <v>0.135780667093441</v>
      </c>
      <c r="BI14" s="141">
        <f t="shared" si="16"/>
        <v>0.13492587967721</v>
      </c>
      <c r="BJ14" s="141">
        <f t="shared" si="16"/>
        <v>0.121634132073221</v>
      </c>
      <c r="BK14" s="140">
        <f t="shared" si="16"/>
        <v>0.137765509047946</v>
      </c>
      <c r="BL14" s="141">
        <f t="shared" si="16"/>
        <v>0.0500306750942454</v>
      </c>
      <c r="BM14" s="141">
        <f t="shared" si="16"/>
        <v>0.129312757521574</v>
      </c>
      <c r="BN14" s="141">
        <f t="shared" si="16"/>
        <v>0.137060630106389</v>
      </c>
      <c r="BO14" s="141">
        <f t="shared" si="16"/>
        <v>0.175760184317796</v>
      </c>
      <c r="BP14" s="140">
        <f t="shared" si="16"/>
        <v>0.130005135659907</v>
      </c>
      <c r="BQ14" s="141">
        <f t="shared" si="16"/>
        <v>0.248608994305285</v>
      </c>
      <c r="BR14" s="141">
        <f t="shared" si="16"/>
        <v>0.245151053086288</v>
      </c>
      <c r="BS14" s="141">
        <f t="shared" si="16"/>
        <v>0.20777695570841</v>
      </c>
      <c r="BT14" s="141">
        <f t="shared" ref="BT14:CR14" si="17">BT13/BO13-1</f>
        <v>0.257029651801288</v>
      </c>
      <c r="BU14" s="140">
        <f t="shared" si="17"/>
        <v>0.241261524814329</v>
      </c>
      <c r="BV14" s="141">
        <f t="shared" si="17"/>
        <v>0.204191423205984</v>
      </c>
      <c r="BW14" s="141">
        <f t="shared" si="17"/>
        <v>0.220942639944713</v>
      </c>
      <c r="BX14" s="141">
        <f t="shared" si="17"/>
        <v>0.22529776434318</v>
      </c>
      <c r="BY14" s="141">
        <f t="shared" si="17"/>
        <v>0.196998040263674</v>
      </c>
      <c r="BZ14" s="140">
        <f t="shared" si="17"/>
        <v>0.210121949847323</v>
      </c>
      <c r="CA14" s="141">
        <f t="shared" si="17"/>
        <v>-0.16662469721276</v>
      </c>
      <c r="CB14" s="141">
        <f t="shared" si="17"/>
        <v>0.0221734936922087</v>
      </c>
      <c r="CC14" s="141">
        <f t="shared" si="17"/>
        <v>0.219764217880144</v>
      </c>
      <c r="CD14" s="141">
        <f t="shared" si="17"/>
        <v>0.237604293381038</v>
      </c>
      <c r="CE14" s="140">
        <f t="shared" si="17"/>
        <v>0.106203479183478</v>
      </c>
      <c r="CF14" s="141">
        <f t="shared" si="17"/>
        <v>0.881207800454628</v>
      </c>
      <c r="CG14" s="141">
        <f t="shared" si="17"/>
        <v>0.606551494619238</v>
      </c>
      <c r="CH14" s="141">
        <f t="shared" si="17"/>
        <v>0.298001836363213</v>
      </c>
      <c r="CI14" s="141">
        <f t="shared" si="17"/>
        <v>0.231013580395386</v>
      </c>
      <c r="CJ14" s="140">
        <f t="shared" si="17"/>
        <v>0.421351427424516</v>
      </c>
      <c r="CK14" s="141">
        <f t="shared" si="17"/>
        <v>0.315527576568967</v>
      </c>
      <c r="CL14" s="141">
        <f t="shared" si="17"/>
        <v>0.287953134457176</v>
      </c>
      <c r="CM14" s="141">
        <f t="shared" si="17"/>
        <v>0.280241391982052</v>
      </c>
      <c r="CN14" s="141">
        <f t="shared" si="17"/>
        <v>0.301881262616821</v>
      </c>
      <c r="CO14" s="140">
        <f t="shared" si="17"/>
        <v>0.296310450200164</v>
      </c>
      <c r="CP14" s="141">
        <f t="shared" si="17"/>
        <v>0.240060664545763</v>
      </c>
      <c r="CQ14" s="141">
        <f t="shared" si="17"/>
        <v>0.182428888289422</v>
      </c>
      <c r="CR14" s="141">
        <f t="shared" si="17"/>
        <v>0.187048875834797</v>
      </c>
      <c r="CS14" s="141">
        <f t="shared" ref="CS14:CX14" si="18">CS13/CN13-1</f>
        <v>0.156309640029468</v>
      </c>
      <c r="CT14" s="140">
        <f t="shared" si="18"/>
        <v>0.18602510961692</v>
      </c>
      <c r="CU14" s="142">
        <f t="shared" si="18"/>
        <v>0.104008312708168</v>
      </c>
      <c r="CV14" s="142">
        <f t="shared" si="18"/>
        <v>0.0732914924869803</v>
      </c>
      <c r="CW14" s="142">
        <f t="shared" si="18"/>
        <v>0.087306246478343</v>
      </c>
      <c r="CX14" s="142">
        <f t="shared" si="18"/>
        <v>0.126795925123155</v>
      </c>
      <c r="CY14" s="143">
        <f t="shared" ref="CY14:DD14" si="19">CY13/CT13-1</f>
        <v>0.10071940950246</v>
      </c>
      <c r="CZ14" s="142">
        <f t="shared" si="19"/>
        <v>0.0732353927830751</v>
      </c>
      <c r="DA14" s="142">
        <f t="shared" si="19"/>
        <v>0.0650088272085525</v>
      </c>
      <c r="DB14" s="142">
        <f t="shared" si="19"/>
        <v>0.0706232840703311</v>
      </c>
      <c r="DC14" s="142">
        <f t="shared" si="19"/>
        <v>0.00811408676235925</v>
      </c>
      <c r="DD14" s="143">
        <f t="shared" si="19"/>
        <v>0.0485897126649231</v>
      </c>
      <c r="DE14" s="142">
        <f t="shared" ref="DE14:DN14" si="20">DE13/CZ13-1</f>
        <v>0.0425801253659319</v>
      </c>
      <c r="DF14" s="142">
        <f t="shared" si="20"/>
        <v>-0.043397424144203</v>
      </c>
      <c r="DG14" s="142">
        <f t="shared" si="20"/>
        <v>-0.0975590260869944</v>
      </c>
      <c r="DH14" s="142">
        <f t="shared" si="20"/>
        <v>-0.103555149335744</v>
      </c>
      <c r="DI14" s="143">
        <f t="shared" si="20"/>
        <v>-0.0572836405413025</v>
      </c>
      <c r="DJ14" s="142">
        <f t="shared" si="20"/>
        <v>-0.0447267742445541</v>
      </c>
      <c r="DK14" s="142">
        <f t="shared" si="20"/>
        <v>-0.0355737228550999</v>
      </c>
      <c r="DL14" s="142">
        <f t="shared" si="20"/>
        <v>-0.00450973543326327</v>
      </c>
      <c r="DM14" s="142">
        <f t="shared" si="20"/>
        <v>-0.0131002280449559</v>
      </c>
      <c r="DN14" s="143">
        <f t="shared" si="20"/>
        <v>-0.0238548033942606</v>
      </c>
      <c r="DO14" s="142">
        <f t="shared" ref="DO14" si="21">DO13/DJ13-1</f>
        <v>0.0131051421216821</v>
      </c>
      <c r="DP14" s="142">
        <f t="shared" ref="DP14" si="22">DP13/DK13-1</f>
        <v>0.0113917722455663</v>
      </c>
      <c r="DQ14" s="142">
        <f t="shared" ref="DQ14" si="23">DQ13/DL13-1</f>
        <v>0.0158064903888269</v>
      </c>
      <c r="DR14" s="142">
        <f t="shared" ref="DR14" si="24">DR13/DM13-1</f>
        <v>0.00625432367101686</v>
      </c>
      <c r="DS14" s="143">
        <f t="shared" ref="DS14" si="25">DS13/DN13-1</f>
        <v>0.0111641219129752</v>
      </c>
    </row>
    <row r="15" s="85" customFormat="1" spans="2:123">
      <c r="B15" s="144" t="s">
        <v>286</v>
      </c>
      <c r="C15" s="138"/>
      <c r="D15" s="139"/>
      <c r="E15" s="139"/>
      <c r="F15" s="139"/>
      <c r="G15" s="139"/>
      <c r="H15" s="140"/>
      <c r="I15" s="141"/>
      <c r="J15" s="141"/>
      <c r="K15" s="141"/>
      <c r="L15" s="141"/>
      <c r="M15" s="140"/>
      <c r="N15" s="141">
        <f t="shared" ref="N15:AS15" si="26">(N13/D13)^(1/2)-1</f>
        <v>0.692810736431985</v>
      </c>
      <c r="O15" s="141">
        <f t="shared" si="26"/>
        <v>0.85106034044749</v>
      </c>
      <c r="P15" s="141">
        <f t="shared" si="26"/>
        <v>0.819385096592737</v>
      </c>
      <c r="Q15" s="141">
        <f t="shared" si="26"/>
        <v>0.82977118508475</v>
      </c>
      <c r="R15" s="140">
        <f t="shared" si="26"/>
        <v>0.807035820983531</v>
      </c>
      <c r="S15" s="141">
        <f t="shared" si="26"/>
        <v>0.665373997235169</v>
      </c>
      <c r="T15" s="141">
        <f t="shared" si="26"/>
        <v>0.621380070620613</v>
      </c>
      <c r="U15" s="141">
        <f t="shared" si="26"/>
        <v>0.555684126555436</v>
      </c>
      <c r="V15" s="141">
        <f t="shared" si="26"/>
        <v>0.410752294593729</v>
      </c>
      <c r="W15" s="140">
        <f t="shared" si="26"/>
        <v>0.543321092056221</v>
      </c>
      <c r="X15" s="141">
        <f t="shared" si="26"/>
        <v>0.350423449602548</v>
      </c>
      <c r="Y15" s="141">
        <f t="shared" si="26"/>
        <v>0.29046254952721</v>
      </c>
      <c r="Z15" s="141">
        <f t="shared" si="26"/>
        <v>0.306362835218999</v>
      </c>
      <c r="AA15" s="141">
        <f t="shared" si="26"/>
        <v>0.236217010982653</v>
      </c>
      <c r="AB15" s="140">
        <f t="shared" si="26"/>
        <v>0.283986141684998</v>
      </c>
      <c r="AC15" s="141">
        <f t="shared" si="26"/>
        <v>0.330127538890482</v>
      </c>
      <c r="AD15" s="141">
        <f t="shared" si="26"/>
        <v>0.334368420876643</v>
      </c>
      <c r="AE15" s="141">
        <f t="shared" si="26"/>
        <v>0.421124722002183</v>
      </c>
      <c r="AF15" s="141">
        <f t="shared" si="26"/>
        <v>0.536684588534325</v>
      </c>
      <c r="AG15" s="140">
        <f t="shared" si="26"/>
        <v>0.416668316955408</v>
      </c>
      <c r="AH15" s="141">
        <f t="shared" si="26"/>
        <v>0.512193339938889</v>
      </c>
      <c r="AI15" s="141">
        <f t="shared" si="26"/>
        <v>0.474024050649842</v>
      </c>
      <c r="AJ15" s="141">
        <f t="shared" si="26"/>
        <v>0.428032501222424</v>
      </c>
      <c r="AK15" s="141">
        <f t="shared" si="26"/>
        <v>0.520933466253303</v>
      </c>
      <c r="AL15" s="140">
        <f t="shared" si="26"/>
        <v>0.486558172149318</v>
      </c>
      <c r="AM15" s="141">
        <f t="shared" si="26"/>
        <v>0.437299321056033</v>
      </c>
      <c r="AN15" s="141">
        <f t="shared" si="26"/>
        <v>0.362678685083397</v>
      </c>
      <c r="AO15" s="141">
        <f t="shared" si="26"/>
        <v>0.341846400810265</v>
      </c>
      <c r="AP15" s="141">
        <f t="shared" si="26"/>
        <v>0.406596084480508</v>
      </c>
      <c r="AQ15" s="140">
        <f t="shared" si="26"/>
        <v>0.387627892327062</v>
      </c>
      <c r="AR15" s="141">
        <f t="shared" si="26"/>
        <v>0.360617352621539</v>
      </c>
      <c r="AS15" s="141">
        <f t="shared" si="26"/>
        <v>0.273808921459443</v>
      </c>
      <c r="AT15" s="141">
        <f t="shared" ref="AT15:BY15" si="27">(AT13/AJ13)^(1/2)-1</f>
        <v>0.28459697468037</v>
      </c>
      <c r="AU15" s="141">
        <f t="shared" si="27"/>
        <v>0.184199422834044</v>
      </c>
      <c r="AV15" s="140">
        <f t="shared" si="27"/>
        <v>0.26089417176847</v>
      </c>
      <c r="AW15" s="141">
        <f t="shared" si="27"/>
        <v>0.160275715364643</v>
      </c>
      <c r="AX15" s="141">
        <f t="shared" si="27"/>
        <v>0.175775777608371</v>
      </c>
      <c r="AY15" s="141">
        <f t="shared" si="27"/>
        <v>0.151065138730646</v>
      </c>
      <c r="AZ15" s="141">
        <f t="shared" si="27"/>
        <v>0.11393937166362</v>
      </c>
      <c r="BA15" s="140">
        <f t="shared" si="27"/>
        <v>0.14518773737357</v>
      </c>
      <c r="BB15" s="141">
        <f t="shared" si="27"/>
        <v>0.106746292866582</v>
      </c>
      <c r="BC15" s="141">
        <f t="shared" si="27"/>
        <v>0.146703365901718</v>
      </c>
      <c r="BD15" s="141">
        <f t="shared" si="27"/>
        <v>0.123691365461083</v>
      </c>
      <c r="BE15" s="141">
        <f t="shared" si="27"/>
        <v>0.162667413135571</v>
      </c>
      <c r="BF15" s="140">
        <f t="shared" si="27"/>
        <v>0.137962592059402</v>
      </c>
      <c r="BG15" s="141">
        <f t="shared" si="27"/>
        <v>0.135047505321558</v>
      </c>
      <c r="BH15" s="141">
        <f t="shared" si="27"/>
        <v>0.147530979992417</v>
      </c>
      <c r="BI15" s="141">
        <f t="shared" si="27"/>
        <v>0.13933987737588</v>
      </c>
      <c r="BJ15" s="141">
        <f t="shared" si="27"/>
        <v>0.145063839788083</v>
      </c>
      <c r="BK15" s="140">
        <f t="shared" si="27"/>
        <v>0.142130428615643</v>
      </c>
      <c r="BL15" s="141">
        <f t="shared" si="27"/>
        <v>0.108359294297415</v>
      </c>
      <c r="BM15" s="141">
        <f t="shared" si="27"/>
        <v>0.132542095065339</v>
      </c>
      <c r="BN15" s="141">
        <f t="shared" si="27"/>
        <v>0.135992753440715</v>
      </c>
      <c r="BO15" s="141">
        <f t="shared" si="27"/>
        <v>0.148378314782869</v>
      </c>
      <c r="BP15" s="140">
        <f t="shared" si="27"/>
        <v>0.133878683281808</v>
      </c>
      <c r="BQ15" s="141">
        <f t="shared" si="27"/>
        <v>0.14502303261512</v>
      </c>
      <c r="BR15" s="141">
        <f t="shared" si="27"/>
        <v>0.185818269926622</v>
      </c>
      <c r="BS15" s="141">
        <f t="shared" si="27"/>
        <v>0.171885500501556</v>
      </c>
      <c r="BT15" s="141">
        <f t="shared" si="27"/>
        <v>0.215716009228643</v>
      </c>
      <c r="BU15" s="140">
        <f t="shared" si="27"/>
        <v>0.184327614191799</v>
      </c>
      <c r="BV15" s="141">
        <f t="shared" si="27"/>
        <v>0.226199103685969</v>
      </c>
      <c r="BW15" s="141">
        <f t="shared" si="27"/>
        <v>0.232987434601469</v>
      </c>
      <c r="BX15" s="141">
        <f t="shared" si="27"/>
        <v>0.216505817353426</v>
      </c>
      <c r="BY15" s="141">
        <f t="shared" si="27"/>
        <v>0.226646660517799</v>
      </c>
      <c r="BZ15" s="140">
        <f t="shared" ref="BZ15:DE15" si="28">(BZ13/BP13)^(1/2)-1</f>
        <v>0.225592842945314</v>
      </c>
      <c r="CA15" s="141">
        <f t="shared" si="28"/>
        <v>0.00177012928519948</v>
      </c>
      <c r="CB15" s="141">
        <f t="shared" si="28"/>
        <v>0.117146008304231</v>
      </c>
      <c r="CC15" s="141">
        <f t="shared" si="28"/>
        <v>0.222527860293723</v>
      </c>
      <c r="CD15" s="141">
        <f t="shared" si="28"/>
        <v>0.217131839119744</v>
      </c>
      <c r="CE15" s="140">
        <f t="shared" si="28"/>
        <v>0.156996590814944</v>
      </c>
      <c r="CF15" s="141">
        <f t="shared" si="28"/>
        <v>0.252099085659595</v>
      </c>
      <c r="CG15" s="141">
        <f t="shared" si="28"/>
        <v>0.281473508915181</v>
      </c>
      <c r="CH15" s="141">
        <f t="shared" si="28"/>
        <v>0.258275087069026</v>
      </c>
      <c r="CI15" s="141">
        <f t="shared" si="28"/>
        <v>0.234304537911002</v>
      </c>
      <c r="CJ15" s="140">
        <f t="shared" si="28"/>
        <v>0.253915425441206</v>
      </c>
      <c r="CK15" s="141">
        <f t="shared" si="28"/>
        <v>0.573143584913568</v>
      </c>
      <c r="CL15" s="141">
        <f t="shared" si="28"/>
        <v>0.438458561503149</v>
      </c>
      <c r="CM15" s="141">
        <f t="shared" si="28"/>
        <v>0.289091027732681</v>
      </c>
      <c r="CN15" s="141">
        <f t="shared" si="28"/>
        <v>0.265951624013966</v>
      </c>
      <c r="CO15" s="140">
        <f t="shared" si="28"/>
        <v>0.357391877380044</v>
      </c>
      <c r="CP15" s="141">
        <f t="shared" si="28"/>
        <v>0.277236861677735</v>
      </c>
      <c r="CQ15" s="141">
        <f t="shared" si="28"/>
        <v>0.234063609764535</v>
      </c>
      <c r="CR15" s="141">
        <f t="shared" si="28"/>
        <v>0.232764821508738</v>
      </c>
      <c r="CS15" s="141">
        <f t="shared" si="28"/>
        <v>0.226938406823083</v>
      </c>
      <c r="CT15" s="140">
        <f t="shared" si="28"/>
        <v>0.239942234056171</v>
      </c>
      <c r="CU15" s="141">
        <f t="shared" si="28"/>
        <v>0.170058666016767</v>
      </c>
      <c r="CV15" s="141">
        <f t="shared" si="28"/>
        <v>0.126539331879662</v>
      </c>
      <c r="CW15" s="141">
        <f t="shared" si="28"/>
        <v>0.136083472976466</v>
      </c>
      <c r="CX15" s="141">
        <f t="shared" si="28"/>
        <v>0.141457397613168</v>
      </c>
      <c r="CY15" s="140">
        <f t="shared" si="28"/>
        <v>0.142576412461165</v>
      </c>
      <c r="CZ15" s="141">
        <f t="shared" si="28"/>
        <v>0.0885131120593496</v>
      </c>
      <c r="DA15" s="141">
        <f t="shared" si="28"/>
        <v>0.0691421391314047</v>
      </c>
      <c r="DB15" s="141">
        <f t="shared" si="28"/>
        <v>0.0789325207791396</v>
      </c>
      <c r="DC15" s="141">
        <f t="shared" si="28"/>
        <v>0.0658043183544892</v>
      </c>
      <c r="DD15" s="140">
        <f t="shared" si="28"/>
        <v>0.0743384240242402</v>
      </c>
      <c r="DE15" s="141">
        <f t="shared" si="28"/>
        <v>0.0577967150426086</v>
      </c>
      <c r="DF15" s="141">
        <f t="shared" ref="DF15:DN15" si="29">(DF13/CV13)^(1/2)-1</f>
        <v>0.00935136965125416</v>
      </c>
      <c r="DG15" s="141">
        <f t="shared" si="29"/>
        <v>-0.0170583337906719</v>
      </c>
      <c r="DH15" s="141">
        <f t="shared" si="29"/>
        <v>-0.0493588048268601</v>
      </c>
      <c r="DI15" s="140">
        <f t="shared" si="29"/>
        <v>-0.00575522305152754</v>
      </c>
      <c r="DJ15" s="141">
        <f t="shared" si="29"/>
        <v>-0.00202761587966216</v>
      </c>
      <c r="DK15" s="141">
        <f t="shared" si="29"/>
        <v>-0.039493539355498</v>
      </c>
      <c r="DL15" s="141">
        <f t="shared" si="29"/>
        <v>-0.0521755416341475</v>
      </c>
      <c r="DM15" s="141">
        <f t="shared" si="29"/>
        <v>-0.0594144277680909</v>
      </c>
      <c r="DN15" s="140">
        <f t="shared" si="29"/>
        <v>-0.0407148254834451</v>
      </c>
      <c r="DO15" s="141">
        <f t="shared" ref="DO15" si="30">(DO13/DE13)^(1/2)-1</f>
        <v>-0.0162356902468921</v>
      </c>
      <c r="DP15" s="141">
        <f t="shared" ref="DP15" si="31">(DP13/DF13)^(1/2)-1</f>
        <v>-0.0123701089771664</v>
      </c>
      <c r="DQ15" s="141">
        <f t="shared" ref="DQ15" si="32">(DQ13/DG13)^(1/2)-1</f>
        <v>0.00559707232359297</v>
      </c>
      <c r="DR15" s="141">
        <f t="shared" ref="DR15" si="33">(DR13/DH13)^(1/2)-1</f>
        <v>-0.00346993895833547</v>
      </c>
      <c r="DS15" s="140">
        <f t="shared" ref="DS15" si="34">(DS13/DI13)^(1/2)-1</f>
        <v>-0.00649962225200384</v>
      </c>
    </row>
    <row r="16" s="85" customFormat="1" spans="2:123">
      <c r="B16" s="38" t="s">
        <v>287</v>
      </c>
      <c r="C16" s="138"/>
      <c r="D16" s="139"/>
      <c r="E16" s="139"/>
      <c r="F16" s="139"/>
      <c r="G16" s="139"/>
      <c r="H16" s="140"/>
      <c r="I16" s="141"/>
      <c r="J16" s="141"/>
      <c r="K16" s="141"/>
      <c r="L16" s="141"/>
      <c r="M16" s="140"/>
      <c r="N16" s="141">
        <f t="shared" ref="N16:AS16" si="35">(1+N14)/(1+N17)-1</f>
        <v>0.536681525945064</v>
      </c>
      <c r="O16" s="141">
        <f t="shared" si="35"/>
        <v>0.746941390910341</v>
      </c>
      <c r="P16" s="141">
        <f t="shared" si="35"/>
        <v>0.72803167936446</v>
      </c>
      <c r="Q16" s="141">
        <f t="shared" si="35"/>
        <v>0.894632924254136</v>
      </c>
      <c r="R16" s="140">
        <f t="shared" si="35"/>
        <v>0.75550408723345</v>
      </c>
      <c r="S16" s="141">
        <f t="shared" si="35"/>
        <v>0.592459643475446</v>
      </c>
      <c r="T16" s="141">
        <f t="shared" si="35"/>
        <v>0.400680329802164</v>
      </c>
      <c r="U16" s="141">
        <f t="shared" si="35"/>
        <v>0.388433116902493</v>
      </c>
      <c r="V16" s="141">
        <f t="shared" si="35"/>
        <v>0.141781218808711</v>
      </c>
      <c r="W16" s="140">
        <f t="shared" si="35"/>
        <v>0.344134847948715</v>
      </c>
      <c r="X16" s="141">
        <f t="shared" si="35"/>
        <v>0.197804878082682</v>
      </c>
      <c r="Y16" s="141">
        <f t="shared" si="35"/>
        <v>0.235529797674916</v>
      </c>
      <c r="Z16" s="141">
        <f t="shared" si="35"/>
        <v>0.286469158172525</v>
      </c>
      <c r="AA16" s="141">
        <f t="shared" si="35"/>
        <v>0.422616332517232</v>
      </c>
      <c r="AB16" s="140">
        <f t="shared" si="35"/>
        <v>0.301688407984611</v>
      </c>
      <c r="AC16" s="141">
        <f t="shared" si="35"/>
        <v>0.53293712542991</v>
      </c>
      <c r="AD16" s="141">
        <f t="shared" si="35"/>
        <v>0.488320016696087</v>
      </c>
      <c r="AE16" s="141">
        <f t="shared" si="35"/>
        <v>0.526407430074996</v>
      </c>
      <c r="AF16" s="141">
        <f t="shared" si="35"/>
        <v>0.487917066778433</v>
      </c>
      <c r="AG16" s="140">
        <f t="shared" si="35"/>
        <v>0.505979003514588</v>
      </c>
      <c r="AH16" s="141">
        <f t="shared" si="35"/>
        <v>0.321993944442706</v>
      </c>
      <c r="AI16" s="141">
        <f t="shared" si="35"/>
        <v>0.347230006831656</v>
      </c>
      <c r="AJ16" s="141">
        <f t="shared" si="35"/>
        <v>0.291396959263414</v>
      </c>
      <c r="AK16" s="141">
        <f t="shared" si="35"/>
        <v>0.523937808167429</v>
      </c>
      <c r="AL16" s="140">
        <f t="shared" si="35"/>
        <v>0.388232716725661</v>
      </c>
      <c r="AM16" s="141">
        <f t="shared" si="35"/>
        <v>0.539918502867492</v>
      </c>
      <c r="AN16" s="141">
        <f t="shared" si="35"/>
        <v>0.350871394052185</v>
      </c>
      <c r="AO16" s="141">
        <f t="shared" si="35"/>
        <v>0.374956562532578</v>
      </c>
      <c r="AP16" s="141">
        <f t="shared" si="35"/>
        <v>0.296653408018248</v>
      </c>
      <c r="AQ16" s="140">
        <f t="shared" si="35"/>
        <v>0.371200029270019</v>
      </c>
      <c r="AR16" s="141">
        <f t="shared" si="35"/>
        <v>0.220076446814124</v>
      </c>
      <c r="AS16" s="141">
        <f t="shared" si="35"/>
        <v>0.228995230679586</v>
      </c>
      <c r="AT16" s="141">
        <f t="shared" ref="AT16:BN16" si="36">(1+AT14)/(1+AT17)-1</f>
        <v>0.229546849036179</v>
      </c>
      <c r="AU16" s="141">
        <f t="shared" si="36"/>
        <v>0.0987147521877789</v>
      </c>
      <c r="AV16" s="140">
        <f t="shared" si="36"/>
        <v>0.181378773122804</v>
      </c>
      <c r="AW16" s="141">
        <f t="shared" si="36"/>
        <v>0.144416182846653</v>
      </c>
      <c r="AX16" s="141">
        <f t="shared" si="36"/>
        <v>0.154140173295154</v>
      </c>
      <c r="AY16" s="141">
        <f t="shared" si="36"/>
        <v>0.124845647390516</v>
      </c>
      <c r="AZ16" s="141">
        <f t="shared" si="36"/>
        <v>0.190171729776144</v>
      </c>
      <c r="BA16" s="140">
        <f t="shared" si="36"/>
        <v>0.156746147574679</v>
      </c>
      <c r="BB16" s="141">
        <f t="shared" si="36"/>
        <v>0.14330755422386</v>
      </c>
      <c r="BC16" s="141">
        <f t="shared" si="36"/>
        <v>0.214992624379778</v>
      </c>
      <c r="BD16" s="141">
        <f t="shared" si="36"/>
        <v>0.208492543905362</v>
      </c>
      <c r="BE16" s="141">
        <f t="shared" si="36"/>
        <v>0.21741493362503</v>
      </c>
      <c r="BF16" s="140">
        <f t="shared" si="36"/>
        <v>0.198855876621472</v>
      </c>
      <c r="BG16" s="141">
        <f t="shared" si="36"/>
        <v>0.18992638687866</v>
      </c>
      <c r="BH16" s="141">
        <f t="shared" si="36"/>
        <v>0.146460942451858</v>
      </c>
      <c r="BI16" s="141">
        <f t="shared" si="36"/>
        <v>0.13492587967721</v>
      </c>
      <c r="BJ16" s="141">
        <f t="shared" si="36"/>
        <v>0.121634132073221</v>
      </c>
      <c r="BK16" s="140">
        <f t="shared" si="36"/>
        <v>0.144060922027825</v>
      </c>
      <c r="BL16" s="141">
        <f t="shared" si="36"/>
        <v>0.0576872725687874</v>
      </c>
      <c r="BM16" s="141">
        <f t="shared" si="36"/>
        <v>0.130849492572516</v>
      </c>
      <c r="BN16" s="141">
        <f t="shared" si="36"/>
        <v>0.126763609005088</v>
      </c>
      <c r="BO16" s="141">
        <v>0.16</v>
      </c>
      <c r="BP16" s="140">
        <v>0.12</v>
      </c>
      <c r="BQ16" s="141">
        <v>0.23</v>
      </c>
      <c r="BR16" s="141">
        <f>(1+BR14)/(1+BR17)-1</f>
        <v>0.242546502796622</v>
      </c>
      <c r="BS16" s="141">
        <f>(1+BS14)/(1+BS17)-1</f>
        <v>0.220394750050821</v>
      </c>
      <c r="BT16" s="141">
        <f>(1+BT14)/(1+BT17)-1</f>
        <v>0.271973470700913</v>
      </c>
      <c r="BU16" s="140">
        <f>(1+BU14)/(1+BU17)-1</f>
        <v>0.24512601479539</v>
      </c>
      <c r="BV16" s="141">
        <v>0.22</v>
      </c>
      <c r="BW16" s="141">
        <v>0.23</v>
      </c>
      <c r="BX16" s="141">
        <v>0.23</v>
      </c>
      <c r="BY16" s="141">
        <v>0.2</v>
      </c>
      <c r="BZ16" s="140">
        <f>(1+BZ14)/(1+BZ17)-1</f>
        <v>0.219245082090225</v>
      </c>
      <c r="CA16" s="141">
        <v>-0.16</v>
      </c>
      <c r="CB16" s="141">
        <v>0.03</v>
      </c>
      <c r="CC16" s="141">
        <v>0.21</v>
      </c>
      <c r="CD16" s="141">
        <v>0.22</v>
      </c>
      <c r="CE16" s="140">
        <f>(1+CE14)/(1+CE17)-1</f>
        <v>0.100546422317877</v>
      </c>
      <c r="CF16" s="141">
        <v>0.83</v>
      </c>
      <c r="CG16" s="141">
        <v>0.56</v>
      </c>
      <c r="CH16" s="141">
        <v>0.28</v>
      </c>
      <c r="CI16" s="141">
        <v>0.23</v>
      </c>
      <c r="CJ16" s="140">
        <f>(1+CJ14)/(1+CJ17)-1</f>
        <v>0.39320819331118</v>
      </c>
      <c r="CK16" s="141">
        <v>0.32</v>
      </c>
      <c r="CL16" s="141">
        <v>0.31</v>
      </c>
      <c r="CM16" s="142">
        <v>0.31</v>
      </c>
      <c r="CN16" s="141">
        <v>0.33</v>
      </c>
      <c r="CO16" s="140">
        <f>(1+CO14)/(1+CO17)-1</f>
        <v>0.325200628647444</v>
      </c>
      <c r="CP16" s="142">
        <v>0.27</v>
      </c>
      <c r="CQ16" s="141">
        <v>0.2</v>
      </c>
      <c r="CR16" s="141">
        <v>0.19</v>
      </c>
      <c r="CS16" s="141">
        <v>0.16</v>
      </c>
      <c r="CT16" s="140">
        <f>(1+CT14)/(1+CT17)-1</f>
        <v>0.198701633922428</v>
      </c>
      <c r="CU16" s="142">
        <v>0.11</v>
      </c>
      <c r="CV16" s="142">
        <v>0.08</v>
      </c>
      <c r="CW16" s="142">
        <v>0.08</v>
      </c>
      <c r="CX16" s="142">
        <v>0.14</v>
      </c>
      <c r="CY16" s="143">
        <f>(1+CY14)/(1+CY17)-1</f>
        <v>0.106714573360787</v>
      </c>
      <c r="CZ16" s="142">
        <v>0.08</v>
      </c>
      <c r="DA16" s="142">
        <v>0.06</v>
      </c>
      <c r="DB16" s="142">
        <v>0.07</v>
      </c>
      <c r="DC16" s="142">
        <v>0</v>
      </c>
      <c r="DD16" s="143">
        <f t="shared" ref="DD16:DN16" si="37">(1+DD14)/(1+DD17)-1</f>
        <v>0.0448657362868803</v>
      </c>
      <c r="DE16" s="142">
        <v>0.02</v>
      </c>
      <c r="DF16" s="142">
        <v>-0.05</v>
      </c>
      <c r="DG16" s="142">
        <f t="shared" si="37"/>
        <v>-0.107433595718466</v>
      </c>
      <c r="DH16" s="142">
        <f t="shared" si="37"/>
        <v>-0.10897737075781</v>
      </c>
      <c r="DI16" s="143">
        <f t="shared" si="37"/>
        <v>-0.0554014702446375</v>
      </c>
      <c r="DJ16" s="142">
        <f t="shared" si="37"/>
        <v>-0.0479005866216989</v>
      </c>
      <c r="DK16" s="142">
        <f t="shared" si="37"/>
        <v>-0.0376773830555807</v>
      </c>
      <c r="DL16" s="142">
        <f t="shared" si="37"/>
        <v>-0.00450973543326327</v>
      </c>
      <c r="DM16" s="142">
        <f t="shared" si="37"/>
        <v>-0.0131002280449559</v>
      </c>
      <c r="DN16" s="143">
        <f t="shared" si="37"/>
        <v>-0.0251140613587302</v>
      </c>
      <c r="DO16" s="142">
        <f t="shared" ref="DO16:DS16" si="38">(1+DO14)/(1+DO17)-1</f>
        <v>0.0131051421216821</v>
      </c>
      <c r="DP16" s="142">
        <f t="shared" si="38"/>
        <v>0.0113917722455663</v>
      </c>
      <c r="DQ16" s="142">
        <f t="shared" si="38"/>
        <v>0.0158064903888269</v>
      </c>
      <c r="DR16" s="142">
        <f t="shared" si="38"/>
        <v>0.00625432367101686</v>
      </c>
      <c r="DS16" s="143">
        <f t="shared" si="38"/>
        <v>0.0111641219129752</v>
      </c>
    </row>
    <row r="17" s="85" customFormat="1" spans="2:123">
      <c r="B17" s="38" t="s">
        <v>288</v>
      </c>
      <c r="C17" s="138"/>
      <c r="D17" s="139"/>
      <c r="E17" s="139"/>
      <c r="F17" s="139"/>
      <c r="G17" s="139"/>
      <c r="H17" s="140"/>
      <c r="I17" s="141"/>
      <c r="J17" s="141"/>
      <c r="K17" s="141"/>
      <c r="L17" s="141"/>
      <c r="M17" s="140"/>
      <c r="N17" s="141">
        <f>(N390*I28+N466*I30)/I13</f>
        <v>0.0341636944797541</v>
      </c>
      <c r="O17" s="141">
        <f>(O390*J28+O466*J30)/J13</f>
        <v>0.0330050612537514</v>
      </c>
      <c r="P17" s="141">
        <f>(P390*K28+P466*K30)/K13</f>
        <v>0.064310498154944</v>
      </c>
      <c r="Q17" s="141">
        <f>(Q390*L28+Q466*L30)/L13</f>
        <v>0.0622958098660844</v>
      </c>
      <c r="R17" s="140">
        <f>SUMPRODUCT(N17:Q17,I13:L13)/M13</f>
        <v>0.0510597958606955</v>
      </c>
      <c r="S17" s="141">
        <f>(S390*N28+S466*N30)/N13</f>
        <v>0.0959278568094047</v>
      </c>
      <c r="T17" s="141">
        <f>(T390*O28+T466*O30)/O13</f>
        <v>0.0400395317792416</v>
      </c>
      <c r="U17" s="141">
        <f>(U390*P28+U466*P30)/P13</f>
        <v>-0.0522411882575438</v>
      </c>
      <c r="V17" s="141">
        <f>(V390*Q28+V466*Q30)/Q13</f>
        <v>-0.13393978764834</v>
      </c>
      <c r="W17" s="140">
        <f>SUMPRODUCT(S17:V17,N13:Q13)/R13</f>
        <v>-0.0396258245738552</v>
      </c>
      <c r="X17" s="141">
        <f>(X390*S28+X466*S30)/S13</f>
        <v>-0.127624495119694</v>
      </c>
      <c r="Y17" s="141">
        <f>(Y390*T28+Y466*T30)/T13</f>
        <v>-0.0747721218065452</v>
      </c>
      <c r="Z17" s="141">
        <f>(Z390*U28+Z466*U30)/U13</f>
        <v>0.00810428218521542</v>
      </c>
      <c r="AA17" s="141">
        <f>(AA390*V28+AA466*V30)/V13</f>
        <v>0.0863522252927816</v>
      </c>
      <c r="AB17" s="140">
        <f>SUMPRODUCT(X17:AA17,S13:V13)/W13</f>
        <v>-0.0188614921115863</v>
      </c>
      <c r="AC17" s="141">
        <f>(AC390*X28+AC466*X30)/X13</f>
        <v>0.104517720462872</v>
      </c>
      <c r="AD17" s="141">
        <f>(AD390*Y28+AD466*Y30)/Y13</f>
        <v>0.0465337874589372</v>
      </c>
      <c r="AE17" s="141">
        <f>(AE390*Z28+AE466*Z30)/Z13</f>
        <v>0.0202088328461719</v>
      </c>
      <c r="AF17" s="141">
        <f>(AF390*AA28+AF466*AA30)/AA13</f>
        <v>0.0269097978904898</v>
      </c>
      <c r="AG17" s="140">
        <f>SUMPRODUCT(AC17:AF17,X13:AA13)/AB13</f>
        <v>0.0434702869090157</v>
      </c>
      <c r="AH17" s="141">
        <f>(AH390*AC28+AH466*AC30)/AC13</f>
        <v>0.021617081977244</v>
      </c>
      <c r="AI17" s="141">
        <f>(AI390*AD28+AI466*AD30)/AD13</f>
        <v>0.0354230176250044</v>
      </c>
      <c r="AJ17" s="141">
        <f>(AJ390*AE28+AJ466*AE30)/AE13</f>
        <v>0.0140441724530226</v>
      </c>
      <c r="AK17" s="141">
        <f>(AK390*AF28+AK466*AF30)/AF13</f>
        <v>-0.0065588034569163</v>
      </c>
      <c r="AL17" s="140">
        <f>SUMPRODUCT(AH17:AK17,AC13:AF13)/AG13</f>
        <v>0.0129838893143655</v>
      </c>
      <c r="AM17" s="141">
        <f>(AM390*AH28+AM466*AH30)/AH13</f>
        <v>-0.00670307313416855</v>
      </c>
      <c r="AN17" s="141">
        <f>(AN390*AI28+AN466*AI30)/AI13</f>
        <v>-0.0145981850048398</v>
      </c>
      <c r="AO17" s="141">
        <f>(AO390*AJ28+AO466*AJ30)/AJ13</f>
        <v>0</v>
      </c>
      <c r="AP17" s="141">
        <f>(AP390*AK28+AP466*AK30)/AK13</f>
        <v>0.0078722620585702</v>
      </c>
      <c r="AQ17" s="140">
        <f>SUMPRODUCT(AM17:AP17,AH13:AK13)/AL13</f>
        <v>-0.001425631529929</v>
      </c>
      <c r="AR17" s="141">
        <f>(AR390*AM28+AR466*AM30)/AM13</f>
        <v>-0.00800807146007322</v>
      </c>
      <c r="AS17" s="141">
        <f>(AS390*AN28+AS466*AN30)/AN13</f>
        <v>-0.00818422412024031</v>
      </c>
      <c r="AT17" s="141">
        <f>(AT390*AO28+AT466*AO30)/AO13</f>
        <v>-0.023887823540376</v>
      </c>
      <c r="AU17" s="141">
        <f>(AU390*AP28+AU466*AP30)/AP13</f>
        <v>-0.0233581380979352</v>
      </c>
      <c r="AV17" s="140">
        <f>SUMPRODUCT(AR17:AU17,AM13:AP13)/AQ13</f>
        <v>-0.0171508121022129</v>
      </c>
      <c r="AW17" s="141">
        <f>(AW390*AR28+AW466*AR30)/AR13</f>
        <v>-0.0280515469284115</v>
      </c>
      <c r="AX17" s="141">
        <f>(AX390*AS28+AX466*AS30)/AS13</f>
        <v>-0.0173264869540482</v>
      </c>
      <c r="AY17" s="141">
        <f>(AY390*AT28+AY466*AT30)/AT13</f>
        <v>-0.018563832587523</v>
      </c>
      <c r="AZ17" s="141">
        <f>(AZ390*AU28+AZ466*AU30)/AU13</f>
        <v>-0.0283872911920122</v>
      </c>
      <c r="BA17" s="140">
        <f>SUMPRODUCT(AW17:AZ17,AR13:AU13)/AV13</f>
        <v>-0.0235741471152372</v>
      </c>
      <c r="BB17" s="141">
        <f>(BB390*AW28+BB466*AW30)/AW13</f>
        <v>-0.0368235495998627</v>
      </c>
      <c r="BC17" s="141">
        <f>(BC390*AX28+BC466*AX30)/AX13</f>
        <v>-0.0457531729314841</v>
      </c>
      <c r="BD17" s="141">
        <f>(BD390*AY28+BD466*AY30)/AY13</f>
        <v>-0.0535555656229435</v>
      </c>
      <c r="BE17" s="141">
        <f>(BE390*AZ28+BE466*AZ30)/AZ13</f>
        <v>-0.0397826278198546</v>
      </c>
      <c r="BF17" s="140">
        <f>SUMPRODUCT(BB17:BE17,AW13:AZ13)/BA13</f>
        <v>-0.0436614474657942</v>
      </c>
      <c r="BG17" s="141">
        <f>(BG390*BB28+BG466*BB30)/BB13</f>
        <v>-0.0168063766692481</v>
      </c>
      <c r="BH17" s="141">
        <f>(BH390*BC28+BH466*BC30)/BC13</f>
        <v>-0.00931586499194278</v>
      </c>
      <c r="BI17" s="141">
        <f>(BI390*BD28+BI466*BD30)/BD13</f>
        <v>0</v>
      </c>
      <c r="BJ17" s="141">
        <f>(BJ390*BE28+BJ466*BE30)/BE13</f>
        <v>0</v>
      </c>
      <c r="BK17" s="140">
        <f>SUMPRODUCT(BG17:BJ17,BB13:BE13)/BF13</f>
        <v>-0.00550269033638547</v>
      </c>
      <c r="BL17" s="141">
        <f>(BL390*BG28+BL466*BG30)/BG13</f>
        <v>-0.00723899934613615</v>
      </c>
      <c r="BM17" s="141">
        <f>(BM390*BH28+BM466*BH30)/BH13</f>
        <v>-0.00135892093601804</v>
      </c>
      <c r="BN17" s="141">
        <f>(BN390*BI28+BN466*BI30)/BI13</f>
        <v>0.00913858152589196</v>
      </c>
      <c r="BO17" s="141">
        <f>(1+BO14)/(1+BO16)-1</f>
        <v>0.0135863657912039</v>
      </c>
      <c r="BP17" s="140">
        <f>(1+BP14)/(1+BP16)-1</f>
        <v>0.00893315683920215</v>
      </c>
      <c r="BQ17" s="141">
        <f>(1+BQ14)/(1+BQ16)-1</f>
        <v>0.0151292636628335</v>
      </c>
      <c r="BR17" s="141">
        <f>(BR390*BM28+BR466*BM30)/BM13</f>
        <v>0.00209613908517968</v>
      </c>
      <c r="BS17" s="141">
        <f>(BS390*BN28+BS466*BN30)/BN13</f>
        <v>-0.0103391089988595</v>
      </c>
      <c r="BT17" s="141">
        <f>(BT390*BO28+BT466*BO30)/BO13</f>
        <v>-0.0117485303301105</v>
      </c>
      <c r="BU17" s="140">
        <f>SUMPRODUCT(BQ17:BT17,BL13:BO13)/BP13</f>
        <v>-0.00310369387125506</v>
      </c>
      <c r="BV17" s="141">
        <f>BV14-BV16</f>
        <v>-0.0158085767940155</v>
      </c>
      <c r="BW17" s="141">
        <v>-0.01</v>
      </c>
      <c r="BX17" s="141">
        <f>-6.8/BS13</f>
        <v>-0.00909510402525229</v>
      </c>
      <c r="BY17" s="141">
        <f>-0.3/BT13</f>
        <v>-0.000256958434403651</v>
      </c>
      <c r="BZ17" s="140">
        <f>SUMPRODUCT(BV17:BY17,BQ13:BT13)/BU13</f>
        <v>-0.00748260737477116</v>
      </c>
      <c r="CA17" s="141">
        <v>-0.01</v>
      </c>
      <c r="CB17" s="141">
        <v>-0.01</v>
      </c>
      <c r="CC17" s="141">
        <v>0.01</v>
      </c>
      <c r="CD17" s="141">
        <v>0.02</v>
      </c>
      <c r="CE17" s="140">
        <f>SUMPRODUCT(CA17:CD17,BV13:BY13)/BZ13</f>
        <v>0.00514022557420751</v>
      </c>
      <c r="CF17" s="141">
        <v>0.05</v>
      </c>
      <c r="CG17" s="141">
        <v>0.05</v>
      </c>
      <c r="CH17" s="141">
        <v>0.01</v>
      </c>
      <c r="CI17" s="141">
        <v>0</v>
      </c>
      <c r="CJ17" s="140">
        <f>SUMPRODUCT(CF17:CI17,CA13:CD13)/CE13</f>
        <v>0.0202003076413504</v>
      </c>
      <c r="CK17" s="141">
        <v>0</v>
      </c>
      <c r="CL17" s="141">
        <v>-0.02</v>
      </c>
      <c r="CM17" s="142">
        <v>-0.03</v>
      </c>
      <c r="CN17" s="141">
        <v>-0.03</v>
      </c>
      <c r="CO17" s="140">
        <f>SUMPRODUCT(CK17:CN17,CF13:CI13)/CJ13</f>
        <v>-0.0218006072610805</v>
      </c>
      <c r="CP17" s="142">
        <v>-0.03</v>
      </c>
      <c r="CQ17" s="141">
        <v>-0.02</v>
      </c>
      <c r="CR17" s="141">
        <v>0</v>
      </c>
      <c r="CS17" s="141">
        <v>0</v>
      </c>
      <c r="CT17" s="140">
        <f>SUMPRODUCT(CP17:CS17,CK13:CN13)/CO13</f>
        <v>-0.0105752123353897</v>
      </c>
      <c r="CU17" s="142">
        <v>-0.01</v>
      </c>
      <c r="CV17" s="142">
        <v>-0.01</v>
      </c>
      <c r="CW17" s="142">
        <v>0.01</v>
      </c>
      <c r="CX17" s="142">
        <v>-0.01</v>
      </c>
      <c r="CY17" s="143">
        <f>SUMPRODUCT(CU17:CX17,CP13:CS13)/CT13</f>
        <v>-0.00541708223839669</v>
      </c>
      <c r="CZ17" s="142">
        <v>-0.01</v>
      </c>
      <c r="DA17" s="142">
        <v>0.01</v>
      </c>
      <c r="DB17" s="142">
        <v>0</v>
      </c>
      <c r="DC17" s="142">
        <v>0.01</v>
      </c>
      <c r="DD17" s="143">
        <f>SUMPRODUCT(CZ17:DC17,CU13:CX13)/CY13</f>
        <v>0.00356407167802877</v>
      </c>
      <c r="DE17" s="142">
        <v>-0.02</v>
      </c>
      <c r="DF17" s="142">
        <v>-0.01</v>
      </c>
      <c r="DG17" s="142">
        <f>(DG176*DB173+DG239*DB236+DG297*DB294)/DB13</f>
        <v>0.011063120440232</v>
      </c>
      <c r="DH17" s="142">
        <f>(DH176*DC173+DH239*DC236+DH297*DC294)/DC13</f>
        <v>0.00608539137404104</v>
      </c>
      <c r="DI17" s="143">
        <f>SUMPRODUCT(DE17:DH17,CZ13:DC13)/DD13</f>
        <v>-0.00199256111181165</v>
      </c>
      <c r="DJ17" s="142">
        <f>(DJ176*DE173+DJ239*DE236+DJ297*DE294)/DE13</f>
        <v>0.00333348842836006</v>
      </c>
      <c r="DK17" s="142">
        <f>(DK176*DF173+DK239*DF236+DK297*DF294)/DF13</f>
        <v>0.00218602385877644</v>
      </c>
      <c r="DL17" s="142">
        <f>(DL176*DG173+DL239*DG236+DL297*DG294)/DG13</f>
        <v>0</v>
      </c>
      <c r="DM17" s="142">
        <f>(DM176*DH173+DM239*DH236+DM297*DH294)/DH13</f>
        <v>0</v>
      </c>
      <c r="DN17" s="143">
        <f>SUMPRODUCT(DJ17:DM17,DE13:DH13)/DI13</f>
        <v>0.0012916977407886</v>
      </c>
      <c r="DO17" s="142">
        <f>(DO176*DJ173+DO239*DJ236+DO297*DJ294)/DJ13</f>
        <v>0</v>
      </c>
      <c r="DP17" s="142">
        <f>(DP176*DK173+DP239*DK236+DP297*DK294)/DK13</f>
        <v>0</v>
      </c>
      <c r="DQ17" s="142">
        <f>(DQ176*DL173+DQ239*DL236+DQ297*DL294)/DL13</f>
        <v>0</v>
      </c>
      <c r="DR17" s="142">
        <f>(DR176*DM173+DR239*DM236+DR297*DM294)/DM13</f>
        <v>0</v>
      </c>
      <c r="DS17" s="143">
        <f>SUMPRODUCT(DO17:DR17,DJ13:DM13)/DN13</f>
        <v>0</v>
      </c>
    </row>
    <row r="18" s="85" customFormat="1" spans="2:123">
      <c r="B18" s="38"/>
      <c r="C18" s="145"/>
      <c r="D18" s="146"/>
      <c r="E18" s="146"/>
      <c r="F18" s="146"/>
      <c r="G18" s="146"/>
      <c r="H18" s="145"/>
      <c r="I18" s="146"/>
      <c r="J18" s="146"/>
      <c r="K18" s="146"/>
      <c r="L18" s="146"/>
      <c r="M18" s="145"/>
      <c r="N18" s="146"/>
      <c r="O18" s="146"/>
      <c r="P18" s="146"/>
      <c r="Q18" s="146"/>
      <c r="R18" s="145"/>
      <c r="S18" s="146"/>
      <c r="T18" s="146"/>
      <c r="U18" s="146"/>
      <c r="V18" s="146"/>
      <c r="W18" s="145"/>
      <c r="X18" s="146"/>
      <c r="Y18" s="146"/>
      <c r="Z18" s="146"/>
      <c r="AA18" s="146"/>
      <c r="AB18" s="145"/>
      <c r="AC18" s="146"/>
      <c r="AD18" s="146"/>
      <c r="AE18" s="146"/>
      <c r="AF18" s="146"/>
      <c r="AG18" s="145"/>
      <c r="AH18" s="146"/>
      <c r="AI18" s="146"/>
      <c r="AJ18" s="146"/>
      <c r="AK18" s="146"/>
      <c r="AL18" s="145"/>
      <c r="AM18" s="146"/>
      <c r="AN18" s="146"/>
      <c r="AO18" s="146"/>
      <c r="AP18" s="146"/>
      <c r="AQ18" s="145"/>
      <c r="AR18" s="146"/>
      <c r="AS18" s="146"/>
      <c r="AT18" s="146"/>
      <c r="AU18" s="146"/>
      <c r="AV18" s="145"/>
      <c r="AW18" s="146"/>
      <c r="AX18" s="146"/>
      <c r="AY18" s="146"/>
      <c r="AZ18" s="146"/>
      <c r="BA18" s="145"/>
      <c r="BB18" s="146"/>
      <c r="BC18" s="146"/>
      <c r="BD18" s="146"/>
      <c r="BE18" s="146"/>
      <c r="BF18" s="145"/>
      <c r="BG18" s="146"/>
      <c r="BH18" s="146"/>
      <c r="BI18" s="146"/>
      <c r="BJ18" s="146"/>
      <c r="BK18" s="145"/>
      <c r="BL18" s="146"/>
      <c r="BM18" s="146"/>
      <c r="BN18" s="146"/>
      <c r="BO18" s="146"/>
      <c r="BP18" s="145"/>
      <c r="BQ18" s="146"/>
      <c r="BR18" s="146"/>
      <c r="BS18" s="146"/>
      <c r="BT18" s="146"/>
      <c r="BU18" s="145"/>
      <c r="BV18" s="146"/>
      <c r="BW18" s="146"/>
      <c r="BX18" s="146"/>
      <c r="BY18" s="146"/>
      <c r="BZ18" s="145"/>
      <c r="CA18" s="146"/>
      <c r="CB18" s="146"/>
      <c r="CC18" s="146"/>
      <c r="CD18" s="146"/>
      <c r="CE18" s="145"/>
      <c r="CF18" s="146"/>
      <c r="CG18" s="146"/>
      <c r="CH18" s="146"/>
      <c r="CI18" s="146"/>
      <c r="CJ18" s="145"/>
      <c r="CK18" s="146"/>
      <c r="CL18" s="146"/>
      <c r="CM18" s="146"/>
      <c r="CN18" s="146"/>
      <c r="CO18" s="145"/>
      <c r="CP18" s="146"/>
      <c r="CQ18" s="146"/>
      <c r="CR18" s="146"/>
      <c r="CS18" s="146"/>
      <c r="CT18" s="145"/>
      <c r="CU18" s="147"/>
      <c r="CV18" s="147"/>
      <c r="CW18" s="147"/>
      <c r="CX18" s="147"/>
      <c r="CY18" s="148"/>
      <c r="CZ18" s="147"/>
      <c r="DA18" s="147"/>
      <c r="DB18" s="147"/>
      <c r="DC18" s="147"/>
      <c r="DD18" s="148"/>
      <c r="DE18" s="147"/>
      <c r="DF18" s="147"/>
      <c r="DG18" s="147"/>
      <c r="DH18" s="147"/>
      <c r="DI18" s="148"/>
      <c r="DJ18" s="147"/>
      <c r="DK18" s="147"/>
      <c r="DL18" s="147"/>
      <c r="DM18" s="147"/>
      <c r="DN18" s="148"/>
      <c r="DO18" s="147"/>
      <c r="DP18" s="147"/>
      <c r="DQ18" s="147"/>
      <c r="DR18" s="147"/>
      <c r="DS18" s="148"/>
    </row>
    <row r="19" s="85" customFormat="1" hidden="1" outlineLevel="1" spans="2:123">
      <c r="B19" s="149" t="s">
        <v>289</v>
      </c>
      <c r="C19" s="150">
        <f>C388</f>
        <v>0.18</v>
      </c>
      <c r="D19" s="151">
        <f t="shared" ref="D19:BO19" si="39">D388</f>
        <v>0.22</v>
      </c>
      <c r="E19" s="151">
        <f t="shared" si="39"/>
        <v>0.09</v>
      </c>
      <c r="F19" s="151">
        <f t="shared" si="39"/>
        <v>0.21</v>
      </c>
      <c r="G19" s="151">
        <f t="shared" si="39"/>
        <v>0.22</v>
      </c>
      <c r="H19" s="150">
        <f t="shared" si="39"/>
        <v>0.19</v>
      </c>
      <c r="I19" s="151">
        <f t="shared" si="39"/>
        <v>0.15</v>
      </c>
      <c r="J19" s="151">
        <f t="shared" si="39"/>
        <v>0.32</v>
      </c>
      <c r="K19" s="151">
        <f t="shared" si="39"/>
        <v>0.29</v>
      </c>
      <c r="L19" s="151">
        <f t="shared" si="39"/>
        <v>0.23</v>
      </c>
      <c r="M19" s="150">
        <f t="shared" si="39"/>
        <v>0.249274898211263</v>
      </c>
      <c r="N19" s="151">
        <f t="shared" si="39"/>
        <v>0.15</v>
      </c>
      <c r="O19" s="151">
        <f t="shared" si="39"/>
        <v>0.25</v>
      </c>
      <c r="P19" s="151">
        <f t="shared" si="39"/>
        <v>0.26</v>
      </c>
      <c r="Q19" s="151">
        <f t="shared" si="39"/>
        <v>0.31</v>
      </c>
      <c r="R19" s="150">
        <f t="shared" si="39"/>
        <v>0.255247651862773</v>
      </c>
      <c r="S19" s="151">
        <f t="shared" si="39"/>
        <v>0.15</v>
      </c>
      <c r="T19" s="151">
        <f t="shared" si="39"/>
        <v>0.13</v>
      </c>
      <c r="U19" s="151">
        <f t="shared" si="39"/>
        <v>0.04</v>
      </c>
      <c r="V19" s="151">
        <f t="shared" si="39"/>
        <v>-0.08</v>
      </c>
      <c r="W19" s="150">
        <f t="shared" si="39"/>
        <v>0.0312112949061222</v>
      </c>
      <c r="X19" s="151">
        <f t="shared" si="39"/>
        <v>-0.08</v>
      </c>
      <c r="Y19" s="151">
        <f t="shared" si="39"/>
        <v>-0.02</v>
      </c>
      <c r="Z19" s="151">
        <f t="shared" si="39"/>
        <v>0.1</v>
      </c>
      <c r="AA19" s="151">
        <f t="shared" si="39"/>
        <v>0.29</v>
      </c>
      <c r="AB19" s="150">
        <f t="shared" si="39"/>
        <v>0.0835685199494164</v>
      </c>
      <c r="AC19" s="151">
        <f t="shared" si="39"/>
        <v>0.35</v>
      </c>
      <c r="AD19" s="151">
        <f t="shared" si="39"/>
        <v>0.31</v>
      </c>
      <c r="AE19" s="151">
        <f t="shared" si="39"/>
        <v>0.29</v>
      </c>
      <c r="AF19" s="151">
        <f t="shared" si="39"/>
        <v>0.28</v>
      </c>
      <c r="AG19" s="150">
        <f t="shared" si="39"/>
        <v>0.3017928701932</v>
      </c>
      <c r="AH19" s="151">
        <f t="shared" si="39"/>
        <v>0.16</v>
      </c>
      <c r="AI19" s="151">
        <f t="shared" si="39"/>
        <v>0.2</v>
      </c>
      <c r="AJ19" s="151">
        <f t="shared" si="39"/>
        <v>0.16</v>
      </c>
      <c r="AK19" s="151">
        <f t="shared" si="39"/>
        <v>0.25</v>
      </c>
      <c r="AL19" s="150">
        <f t="shared" si="39"/>
        <v>0.19964148718183</v>
      </c>
      <c r="AM19" s="151">
        <f t="shared" si="39"/>
        <v>0.25</v>
      </c>
      <c r="AN19" s="151">
        <f t="shared" si="39"/>
        <v>0.15</v>
      </c>
      <c r="AO19" s="151">
        <f t="shared" si="39"/>
        <v>0.18</v>
      </c>
      <c r="AP19" s="151">
        <f t="shared" si="39"/>
        <v>0.1</v>
      </c>
      <c r="AQ19" s="150">
        <f t="shared" si="39"/>
        <v>0.158231631926647</v>
      </c>
      <c r="AR19" s="151">
        <f t="shared" si="39"/>
        <v>0.07</v>
      </c>
      <c r="AS19" s="151">
        <f t="shared" si="39"/>
        <v>0.07</v>
      </c>
      <c r="AT19" s="151">
        <f t="shared" si="39"/>
        <v>0.05</v>
      </c>
      <c r="AU19" s="151">
        <f t="shared" si="39"/>
        <v>-0.02</v>
      </c>
      <c r="AV19" s="150">
        <f t="shared" si="39"/>
        <v>0.034167601526719</v>
      </c>
      <c r="AW19" s="151">
        <f t="shared" si="39"/>
        <v>-0.04</v>
      </c>
      <c r="AX19" s="151">
        <f t="shared" si="39"/>
        <v>-0.05</v>
      </c>
      <c r="AY19" s="151">
        <f t="shared" si="39"/>
        <v>-0.03</v>
      </c>
      <c r="AZ19" s="151">
        <f t="shared" si="39"/>
        <v>0.05</v>
      </c>
      <c r="BA19" s="150">
        <f t="shared" si="39"/>
        <v>-0.0109212944843731</v>
      </c>
      <c r="BB19" s="151">
        <f t="shared" si="39"/>
        <v>-0.005</v>
      </c>
      <c r="BC19" s="151">
        <f t="shared" si="39"/>
        <v>0.06</v>
      </c>
      <c r="BD19" s="151">
        <f t="shared" si="39"/>
        <v>0.06</v>
      </c>
      <c r="BE19" s="152">
        <f t="shared" si="39"/>
        <v>0.05</v>
      </c>
      <c r="BF19" s="150">
        <f t="shared" si="39"/>
        <v>0.0427274638877042</v>
      </c>
      <c r="BG19" s="151">
        <f t="shared" si="39"/>
        <v>0.05</v>
      </c>
      <c r="BH19" s="151">
        <f t="shared" si="39"/>
        <v>0.04</v>
      </c>
      <c r="BI19" s="151">
        <f t="shared" si="39"/>
        <v>0.04</v>
      </c>
      <c r="BJ19" s="152">
        <f t="shared" si="39"/>
        <v>0.06</v>
      </c>
      <c r="BK19" s="150">
        <f t="shared" si="39"/>
        <v>0.0487857006719545</v>
      </c>
      <c r="BL19" s="151">
        <f t="shared" si="39"/>
        <v>-0.01</v>
      </c>
      <c r="BM19" s="151">
        <f t="shared" si="39"/>
        <v>0.02</v>
      </c>
      <c r="BN19" s="151">
        <f t="shared" si="39"/>
        <v>0.01</v>
      </c>
      <c r="BO19" s="152">
        <f t="shared" si="39"/>
        <v>0.01</v>
      </c>
      <c r="BP19" s="150">
        <f t="shared" ref="BP19:BZ19" si="40">BP388</f>
        <v>0.00802847056103856</v>
      </c>
      <c r="BQ19" s="151">
        <f t="shared" si="40"/>
        <v>0.06</v>
      </c>
      <c r="BR19" s="151">
        <f t="shared" si="40"/>
        <v>0.1</v>
      </c>
      <c r="BS19" s="151">
        <f t="shared" si="40"/>
        <v>0.07</v>
      </c>
      <c r="BT19" s="151">
        <f t="shared" si="40"/>
        <v>0.07</v>
      </c>
      <c r="BU19" s="150">
        <f t="shared" si="40"/>
        <v>0.0746963135865628</v>
      </c>
      <c r="BV19" s="151">
        <f t="shared" si="40"/>
        <v>0.08</v>
      </c>
      <c r="BW19" s="151">
        <f t="shared" si="40"/>
        <v>0.11</v>
      </c>
      <c r="BX19" s="151">
        <f t="shared" si="40"/>
        <v>0.11</v>
      </c>
      <c r="BY19" s="151">
        <f t="shared" si="40"/>
        <v>0.09</v>
      </c>
      <c r="BZ19" s="150">
        <f t="shared" si="40"/>
        <v>0.097023419801793</v>
      </c>
      <c r="CA19" s="153">
        <f t="shared" ref="CA19:CT19" si="41">CA388</f>
        <v>-0.491392673846425</v>
      </c>
      <c r="CB19" s="153">
        <f t="shared" si="41"/>
        <v>-0.522740310020072</v>
      </c>
      <c r="CC19" s="151">
        <f t="shared" si="41"/>
        <v>-0.18</v>
      </c>
      <c r="CD19" s="151">
        <f t="shared" si="41"/>
        <v>-0.29</v>
      </c>
      <c r="CE19" s="150">
        <f t="shared" si="41"/>
        <v>-0.359613275991685</v>
      </c>
      <c r="CF19" s="151">
        <f t="shared" si="41"/>
        <v>0.9625</v>
      </c>
      <c r="CG19" s="151">
        <f t="shared" si="41"/>
        <v>1.235</v>
      </c>
      <c r="CH19" s="151">
        <f t="shared" si="41"/>
        <v>0.31</v>
      </c>
      <c r="CI19" s="151">
        <f t="shared" si="41"/>
        <v>0.32</v>
      </c>
      <c r="CJ19" s="150">
        <f t="shared" si="41"/>
        <v>0.576028076201752</v>
      </c>
      <c r="CK19" s="151">
        <f t="shared" si="41"/>
        <v>0.24</v>
      </c>
      <c r="CL19" s="151">
        <f t="shared" si="41"/>
        <v>0.18</v>
      </c>
      <c r="CM19" s="151">
        <f t="shared" si="41"/>
        <v>0.17</v>
      </c>
      <c r="CN19" s="151">
        <f t="shared" si="41"/>
        <v>0.17</v>
      </c>
      <c r="CO19" s="150">
        <f t="shared" si="41"/>
        <v>0.185776050798565</v>
      </c>
      <c r="CP19" s="151">
        <f t="shared" si="41"/>
        <v>0.16</v>
      </c>
      <c r="CQ19" s="151">
        <f t="shared" si="41"/>
        <v>0.09</v>
      </c>
      <c r="CR19" s="151">
        <f t="shared" si="41"/>
        <v>0.09</v>
      </c>
      <c r="CS19" s="151">
        <f t="shared" si="41"/>
        <v>0.06</v>
      </c>
      <c r="CT19" s="150">
        <f t="shared" si="41"/>
        <v>0.0949068193075515</v>
      </c>
      <c r="CU19" s="154"/>
      <c r="CV19" s="154"/>
      <c r="CW19" s="154"/>
      <c r="CX19" s="154"/>
      <c r="CY19" s="155"/>
      <c r="CZ19" s="154"/>
      <c r="DA19" s="154"/>
      <c r="DB19" s="154"/>
      <c r="DC19" s="154"/>
      <c r="DD19" s="155"/>
      <c r="DE19" s="154"/>
      <c r="DF19" s="154"/>
      <c r="DG19" s="154"/>
      <c r="DH19" s="154"/>
      <c r="DI19" s="155"/>
      <c r="DJ19" s="154"/>
      <c r="DK19" s="154"/>
      <c r="DL19" s="154"/>
      <c r="DM19" s="154"/>
      <c r="DN19" s="155"/>
      <c r="DO19" s="154"/>
      <c r="DP19" s="154"/>
      <c r="DQ19" s="154"/>
      <c r="DR19" s="154"/>
      <c r="DS19" s="155"/>
    </row>
    <row r="20" s="85" customFormat="1" hidden="1" outlineLevel="1" spans="2:123">
      <c r="B20" s="149" t="s">
        <v>290</v>
      </c>
      <c r="C20" s="150"/>
      <c r="D20" s="151"/>
      <c r="E20" s="151"/>
      <c r="F20" s="151"/>
      <c r="G20" s="151"/>
      <c r="H20" s="150"/>
      <c r="I20" s="151"/>
      <c r="J20" s="151"/>
      <c r="K20" s="151"/>
      <c r="L20" s="151"/>
      <c r="M20" s="150"/>
      <c r="N20" s="151"/>
      <c r="O20" s="151"/>
      <c r="P20" s="151"/>
      <c r="Q20" s="151"/>
      <c r="R20" s="150"/>
      <c r="S20" s="151"/>
      <c r="T20" s="151"/>
      <c r="U20" s="151"/>
      <c r="V20" s="151"/>
      <c r="W20" s="150"/>
      <c r="X20" s="151"/>
      <c r="Y20" s="151"/>
      <c r="Z20" s="151"/>
      <c r="AA20" s="151"/>
      <c r="AB20" s="150"/>
      <c r="AC20" s="151"/>
      <c r="AD20" s="151"/>
      <c r="AE20" s="151"/>
      <c r="AF20" s="151"/>
      <c r="AG20" s="150"/>
      <c r="AH20" s="151"/>
      <c r="AI20" s="151"/>
      <c r="AJ20" s="151"/>
      <c r="AK20" s="151"/>
      <c r="AL20" s="150"/>
      <c r="AM20" s="151"/>
      <c r="AN20" s="151"/>
      <c r="AO20" s="151"/>
      <c r="AP20" s="151"/>
      <c r="AQ20" s="150"/>
      <c r="AR20" s="151"/>
      <c r="AS20" s="151"/>
      <c r="AT20" s="151"/>
      <c r="AU20" s="151"/>
      <c r="AV20" s="150"/>
      <c r="AW20" s="151">
        <f t="shared" ref="AW20:BS20" si="42">AW465</f>
        <v>0.260296718173898</v>
      </c>
      <c r="AX20" s="151">
        <f t="shared" si="42"/>
        <v>0.2988298667871</v>
      </c>
      <c r="AY20" s="151">
        <f t="shared" si="42"/>
        <v>0.271565539409424</v>
      </c>
      <c r="AZ20" s="151">
        <f t="shared" si="42"/>
        <v>0.207237181302563</v>
      </c>
      <c r="BA20" s="150">
        <f t="shared" si="42"/>
        <v>0.250463373433777</v>
      </c>
      <c r="BB20" s="151">
        <f t="shared" si="42"/>
        <v>0.320532836167783</v>
      </c>
      <c r="BC20" s="151">
        <f t="shared" si="42"/>
        <v>0.363265644426026</v>
      </c>
      <c r="BD20" s="151">
        <f t="shared" si="42"/>
        <v>0.217978303270189</v>
      </c>
      <c r="BE20" s="151">
        <f t="shared" si="42"/>
        <v>0.345162031716847</v>
      </c>
      <c r="BF20" s="150">
        <f t="shared" si="42"/>
        <v>0.313110320269924</v>
      </c>
      <c r="BG20" s="151">
        <f t="shared" si="42"/>
        <v>0.178338456544014</v>
      </c>
      <c r="BH20" s="151">
        <f t="shared" si="42"/>
        <v>0.073478741008745</v>
      </c>
      <c r="BI20" s="151">
        <f t="shared" si="42"/>
        <v>0.164368073435576</v>
      </c>
      <c r="BJ20" s="151">
        <f t="shared" si="42"/>
        <v>0.122942864953526</v>
      </c>
      <c r="BK20" s="150">
        <f t="shared" si="42"/>
        <v>0.133566610630305</v>
      </c>
      <c r="BL20" s="151">
        <f t="shared" si="42"/>
        <v>-0.00351556894819915</v>
      </c>
      <c r="BM20" s="151">
        <f t="shared" si="42"/>
        <v>0.303912922160105</v>
      </c>
      <c r="BN20" s="151">
        <f t="shared" si="42"/>
        <v>0.248711009372115</v>
      </c>
      <c r="BO20" s="151">
        <f t="shared" si="42"/>
        <v>0.417170209787656</v>
      </c>
      <c r="BP20" s="150">
        <f t="shared" si="42"/>
        <v>0.266128708084928</v>
      </c>
      <c r="BQ20" s="151">
        <f t="shared" si="42"/>
        <v>0.6</v>
      </c>
      <c r="BR20" s="151">
        <f t="shared" si="42"/>
        <v>0.47</v>
      </c>
      <c r="BS20" s="151">
        <f t="shared" si="42"/>
        <v>0.46</v>
      </c>
      <c r="BT20" s="151">
        <v>0.39</v>
      </c>
      <c r="BU20" s="150">
        <f t="shared" ref="BU20:CI20" si="43">BU465</f>
        <v>0.492827804353585</v>
      </c>
      <c r="BV20" s="151">
        <f t="shared" si="43"/>
        <v>0.35</v>
      </c>
      <c r="BW20" s="151">
        <f t="shared" si="43"/>
        <v>0.31</v>
      </c>
      <c r="BX20" s="151">
        <f t="shared" si="43"/>
        <v>0.3</v>
      </c>
      <c r="BY20" s="151">
        <f t="shared" si="43"/>
        <v>0.346652685026768</v>
      </c>
      <c r="BZ20" s="150">
        <f t="shared" si="43"/>
        <v>0.329837015751185</v>
      </c>
      <c r="CA20" s="151">
        <f t="shared" si="43"/>
        <v>0.7</v>
      </c>
      <c r="CB20" s="151">
        <f t="shared" si="43"/>
        <v>1.57</v>
      </c>
      <c r="CC20" s="151">
        <f t="shared" si="43"/>
        <v>0.93</v>
      </c>
      <c r="CD20" s="151">
        <f t="shared" si="43"/>
        <v>0.92</v>
      </c>
      <c r="CE20" s="150">
        <f t="shared" si="43"/>
        <v>1.00592585561356</v>
      </c>
      <c r="CF20" s="151">
        <f t="shared" si="43"/>
        <v>0.5</v>
      </c>
      <c r="CG20" s="151">
        <f t="shared" si="43"/>
        <v>0.04</v>
      </c>
      <c r="CH20" s="151">
        <f t="shared" si="43"/>
        <v>0.21</v>
      </c>
      <c r="CI20" s="151">
        <f t="shared" si="43"/>
        <v>0.16</v>
      </c>
      <c r="CJ20" s="150">
        <f t="shared" ref="CJ20:CT20" si="44">CJ465</f>
        <v>0.193751363794773</v>
      </c>
      <c r="CK20" s="151">
        <f t="shared" si="44"/>
        <v>0.33</v>
      </c>
      <c r="CL20" s="151">
        <f t="shared" si="44"/>
        <v>0.32</v>
      </c>
      <c r="CM20" s="151">
        <f t="shared" si="44"/>
        <v>0.34</v>
      </c>
      <c r="CN20" s="151">
        <f t="shared" si="44"/>
        <v>0.39</v>
      </c>
      <c r="CO20" s="150">
        <f t="shared" si="44"/>
        <v>0.352615491888965</v>
      </c>
      <c r="CP20" s="151">
        <f t="shared" si="44"/>
        <v>0.18</v>
      </c>
      <c r="CQ20" s="151">
        <f t="shared" si="44"/>
        <v>0.17</v>
      </c>
      <c r="CR20" s="151">
        <f t="shared" si="44"/>
        <v>0.19</v>
      </c>
      <c r="CS20" s="151">
        <f t="shared" si="44"/>
        <v>0.17</v>
      </c>
      <c r="CT20" s="150">
        <f t="shared" si="44"/>
        <v>0.176097520103163</v>
      </c>
      <c r="CU20" s="154"/>
      <c r="CV20" s="154"/>
      <c r="CW20" s="154"/>
      <c r="CX20" s="154"/>
      <c r="CY20" s="155"/>
      <c r="CZ20" s="154"/>
      <c r="DA20" s="154"/>
      <c r="DB20" s="154"/>
      <c r="DC20" s="154"/>
      <c r="DD20" s="155"/>
      <c r="DE20" s="154"/>
      <c r="DF20" s="154"/>
      <c r="DG20" s="154"/>
      <c r="DH20" s="154"/>
      <c r="DI20" s="155"/>
      <c r="DJ20" s="154"/>
      <c r="DK20" s="154"/>
      <c r="DL20" s="154"/>
      <c r="DM20" s="154"/>
      <c r="DN20" s="155"/>
      <c r="DO20" s="154"/>
      <c r="DP20" s="154"/>
      <c r="DQ20" s="154"/>
      <c r="DR20" s="154"/>
      <c r="DS20" s="155"/>
    </row>
    <row r="21" s="85" customFormat="1" collapsed="1" spans="2:123">
      <c r="B21" s="144" t="s">
        <v>291</v>
      </c>
      <c r="C21" s="156"/>
      <c r="D21" s="157"/>
      <c r="E21" s="157"/>
      <c r="F21" s="157"/>
      <c r="G21" s="157"/>
      <c r="H21" s="156"/>
      <c r="I21" s="157"/>
      <c r="J21" s="157"/>
      <c r="K21" s="157"/>
      <c r="L21" s="157"/>
      <c r="M21" s="156"/>
      <c r="N21" s="157"/>
      <c r="O21" s="157"/>
      <c r="P21" s="157"/>
      <c r="Q21" s="157"/>
      <c r="R21" s="156"/>
      <c r="S21" s="157"/>
      <c r="T21" s="157"/>
      <c r="U21" s="157"/>
      <c r="V21" s="157"/>
      <c r="W21" s="156"/>
      <c r="X21" s="157"/>
      <c r="Y21" s="157"/>
      <c r="Z21" s="157"/>
      <c r="AA21" s="157"/>
      <c r="AB21" s="156"/>
      <c r="AC21" s="157"/>
      <c r="AD21" s="157"/>
      <c r="AE21" s="157"/>
      <c r="AF21" s="157"/>
      <c r="AG21" s="156"/>
      <c r="AH21" s="157"/>
      <c r="AI21" s="157"/>
      <c r="AJ21" s="157"/>
      <c r="AK21" s="157"/>
      <c r="AL21" s="156"/>
      <c r="AM21" s="157"/>
      <c r="AN21" s="157"/>
      <c r="AO21" s="157"/>
      <c r="AP21" s="157"/>
      <c r="AQ21" s="156"/>
      <c r="AR21" s="157"/>
      <c r="AS21" s="157"/>
      <c r="AT21" s="157"/>
      <c r="AU21" s="157"/>
      <c r="AV21" s="156"/>
      <c r="AW21" s="157"/>
      <c r="AX21" s="157"/>
      <c r="AY21" s="157"/>
      <c r="AZ21" s="157"/>
      <c r="BA21" s="156"/>
      <c r="BB21" s="157"/>
      <c r="BC21" s="157"/>
      <c r="BD21" s="157"/>
      <c r="BE21" s="157"/>
      <c r="BF21" s="156"/>
      <c r="BG21" s="157"/>
      <c r="BH21" s="157"/>
      <c r="BI21" s="157"/>
      <c r="BJ21" s="157"/>
      <c r="BK21" s="156"/>
      <c r="BL21" s="157"/>
      <c r="BM21" s="157"/>
      <c r="BN21" s="157"/>
      <c r="BO21" s="157"/>
      <c r="BP21" s="156"/>
      <c r="BQ21" s="157"/>
      <c r="BR21" s="157"/>
      <c r="BS21" s="157"/>
      <c r="BT21" s="157"/>
      <c r="BU21" s="156"/>
      <c r="BV21" s="157"/>
      <c r="BW21" s="157"/>
      <c r="BX21" s="157"/>
      <c r="BY21" s="157"/>
      <c r="BZ21" s="156"/>
      <c r="CA21" s="157"/>
      <c r="CB21" s="157"/>
      <c r="CC21" s="157"/>
      <c r="CD21" s="157"/>
      <c r="CE21" s="156"/>
      <c r="CF21" s="157"/>
      <c r="CG21" s="157"/>
      <c r="CH21" s="157"/>
      <c r="CI21" s="157"/>
      <c r="CJ21" s="156"/>
      <c r="CK21" s="157"/>
      <c r="CL21" s="157"/>
      <c r="CM21" s="157"/>
      <c r="CN21" s="157"/>
      <c r="CO21" s="156"/>
      <c r="CP21" s="157"/>
      <c r="CQ21" s="157"/>
      <c r="CR21" s="157"/>
      <c r="CS21" s="157">
        <f>CS179</f>
        <v>0.07</v>
      </c>
      <c r="CT21" s="156">
        <f t="shared" ref="CT21:DN21" si="45">CT179</f>
        <v>0.09</v>
      </c>
      <c r="CU21" s="158">
        <f t="shared" si="45"/>
        <v>0</v>
      </c>
      <c r="CV21" s="158">
        <f t="shared" si="45"/>
        <v>-0.02</v>
      </c>
      <c r="CW21" s="158">
        <f t="shared" si="45"/>
        <v>-0.02</v>
      </c>
      <c r="CX21" s="158">
        <f t="shared" si="45"/>
        <v>0</v>
      </c>
      <c r="CY21" s="159">
        <f t="shared" si="45"/>
        <v>-0.01</v>
      </c>
      <c r="CZ21" s="158">
        <f t="shared" si="45"/>
        <v>-0.01</v>
      </c>
      <c r="DA21" s="158">
        <f t="shared" si="45"/>
        <v>-0.03</v>
      </c>
      <c r="DB21" s="158">
        <f t="shared" si="45"/>
        <v>-0.05</v>
      </c>
      <c r="DC21" s="158">
        <f t="shared" si="45"/>
        <v>-0.02</v>
      </c>
      <c r="DD21" s="159">
        <f t="shared" si="45"/>
        <v>-0.03</v>
      </c>
      <c r="DE21" s="158">
        <f t="shared" si="45"/>
        <v>-0.06</v>
      </c>
      <c r="DF21" s="158">
        <f t="shared" si="45"/>
        <v>-0.12</v>
      </c>
      <c r="DG21" s="158">
        <f t="shared" si="45"/>
        <v>-0.17</v>
      </c>
      <c r="DH21" s="158">
        <f t="shared" si="45"/>
        <v>-0.155</v>
      </c>
      <c r="DI21" s="159">
        <f t="shared" si="45"/>
        <v>-0.130198319902373</v>
      </c>
      <c r="DJ21" s="158">
        <f t="shared" si="45"/>
        <v>-0.095</v>
      </c>
      <c r="DK21" s="158">
        <f t="shared" si="45"/>
        <v>-0.085</v>
      </c>
      <c r="DL21" s="158">
        <f t="shared" si="45"/>
        <v>-0.055</v>
      </c>
      <c r="DM21" s="158">
        <f t="shared" si="45"/>
        <v>-0.055</v>
      </c>
      <c r="DN21" s="159">
        <f t="shared" si="45"/>
        <v>-0.0712331170254975</v>
      </c>
      <c r="DO21" s="158">
        <f t="shared" ref="DO21:DS21" si="46">DO179</f>
        <v>-0.04</v>
      </c>
      <c r="DP21" s="158">
        <f t="shared" si="46"/>
        <v>-0.04</v>
      </c>
      <c r="DQ21" s="158">
        <f t="shared" si="46"/>
        <v>-0.04</v>
      </c>
      <c r="DR21" s="158">
        <f t="shared" si="46"/>
        <v>-0.04</v>
      </c>
      <c r="DS21" s="159">
        <f t="shared" si="46"/>
        <v>-0.04</v>
      </c>
    </row>
    <row r="22" s="85" customFormat="1" spans="2:123">
      <c r="B22" s="144" t="s">
        <v>292</v>
      </c>
      <c r="C22" s="156"/>
      <c r="D22" s="157"/>
      <c r="E22" s="157"/>
      <c r="F22" s="157"/>
      <c r="G22" s="157"/>
      <c r="H22" s="156"/>
      <c r="I22" s="157"/>
      <c r="J22" s="157"/>
      <c r="K22" s="157"/>
      <c r="L22" s="157"/>
      <c r="M22" s="156"/>
      <c r="N22" s="157"/>
      <c r="O22" s="157"/>
      <c r="P22" s="157"/>
      <c r="Q22" s="157"/>
      <c r="R22" s="156"/>
      <c r="S22" s="157"/>
      <c r="T22" s="157"/>
      <c r="U22" s="157"/>
      <c r="V22" s="157"/>
      <c r="W22" s="156"/>
      <c r="X22" s="157"/>
      <c r="Y22" s="157"/>
      <c r="Z22" s="157"/>
      <c r="AA22" s="157"/>
      <c r="AB22" s="156"/>
      <c r="AC22" s="157"/>
      <c r="AD22" s="157"/>
      <c r="AE22" s="157"/>
      <c r="AF22" s="157"/>
      <c r="AG22" s="156"/>
      <c r="AH22" s="157"/>
      <c r="AI22" s="157"/>
      <c r="AJ22" s="157"/>
      <c r="AK22" s="157"/>
      <c r="AL22" s="156"/>
      <c r="AM22" s="157"/>
      <c r="AN22" s="157"/>
      <c r="AO22" s="157"/>
      <c r="AP22" s="157"/>
      <c r="AQ22" s="156"/>
      <c r="AR22" s="157"/>
      <c r="AS22" s="157"/>
      <c r="AT22" s="157"/>
      <c r="AU22" s="157"/>
      <c r="AV22" s="156"/>
      <c r="AW22" s="157"/>
      <c r="AX22" s="157"/>
      <c r="AY22" s="157"/>
      <c r="AZ22" s="157"/>
      <c r="BA22" s="156"/>
      <c r="BB22" s="157"/>
      <c r="BC22" s="157"/>
      <c r="BD22" s="157"/>
      <c r="BE22" s="157"/>
      <c r="BF22" s="156"/>
      <c r="BG22" s="157"/>
      <c r="BH22" s="157"/>
      <c r="BI22" s="157"/>
      <c r="BJ22" s="157"/>
      <c r="BK22" s="156"/>
      <c r="BL22" s="157"/>
      <c r="BM22" s="157"/>
      <c r="BN22" s="157"/>
      <c r="BO22" s="157"/>
      <c r="BP22" s="156"/>
      <c r="BQ22" s="157"/>
      <c r="BR22" s="157"/>
      <c r="BS22" s="157"/>
      <c r="BT22" s="157"/>
      <c r="BU22" s="156"/>
      <c r="BV22" s="157"/>
      <c r="BW22" s="157"/>
      <c r="BX22" s="157"/>
      <c r="BY22" s="157"/>
      <c r="BZ22" s="156"/>
      <c r="CA22" s="157"/>
      <c r="CB22" s="157"/>
      <c r="CC22" s="157"/>
      <c r="CD22" s="157"/>
      <c r="CE22" s="156"/>
      <c r="CF22" s="157"/>
      <c r="CG22" s="157"/>
      <c r="CH22" s="157"/>
      <c r="CI22" s="157"/>
      <c r="CJ22" s="156"/>
      <c r="CK22" s="157"/>
      <c r="CL22" s="157"/>
      <c r="CM22" s="157"/>
      <c r="CN22" s="157"/>
      <c r="CO22" s="156"/>
      <c r="CP22" s="157"/>
      <c r="CQ22" s="157"/>
      <c r="CR22" s="157"/>
      <c r="CS22" s="157">
        <f>CS242</f>
        <v>0.6</v>
      </c>
      <c r="CT22" s="156">
        <f t="shared" ref="CT22:DN22" si="47">CT242</f>
        <v>0.46</v>
      </c>
      <c r="CU22" s="158">
        <f t="shared" si="47"/>
        <v>0.33</v>
      </c>
      <c r="CV22" s="158">
        <f t="shared" si="47"/>
        <v>0.23</v>
      </c>
      <c r="CW22" s="158">
        <f t="shared" si="47"/>
        <v>0.24</v>
      </c>
      <c r="CX22" s="158">
        <f t="shared" si="47"/>
        <v>0.27</v>
      </c>
      <c r="CY22" s="159">
        <f t="shared" si="47"/>
        <v>0.27</v>
      </c>
      <c r="CZ22" s="158">
        <f t="shared" si="47"/>
        <v>0.08</v>
      </c>
      <c r="DA22" s="158">
        <f t="shared" si="47"/>
        <v>0.16</v>
      </c>
      <c r="DB22" s="158">
        <f t="shared" si="47"/>
        <v>0.25</v>
      </c>
      <c r="DC22" s="158">
        <f t="shared" si="47"/>
        <v>0.26</v>
      </c>
      <c r="DD22" s="159">
        <f t="shared" si="47"/>
        <v>0.19</v>
      </c>
      <c r="DE22" s="158">
        <f t="shared" si="47"/>
        <v>0.13</v>
      </c>
      <c r="DF22" s="158">
        <f t="shared" si="47"/>
        <v>-0.08</v>
      </c>
      <c r="DG22" s="158">
        <f t="shared" si="47"/>
        <v>-0.07</v>
      </c>
      <c r="DH22" s="158">
        <f t="shared" si="47"/>
        <v>-0.07</v>
      </c>
      <c r="DI22" s="159">
        <f t="shared" si="47"/>
        <v>-0.0302853546189621</v>
      </c>
      <c r="DJ22" s="158">
        <f t="shared" si="47"/>
        <v>-0.03</v>
      </c>
      <c r="DK22" s="158">
        <f t="shared" si="47"/>
        <v>-0.01</v>
      </c>
      <c r="DL22" s="158">
        <f t="shared" si="47"/>
        <v>0.02</v>
      </c>
      <c r="DM22" s="158">
        <f t="shared" si="47"/>
        <v>0.02</v>
      </c>
      <c r="DN22" s="159">
        <f t="shared" si="47"/>
        <v>0.000999503879878554</v>
      </c>
      <c r="DO22" s="158">
        <f t="shared" ref="DO22:DS22" si="48">DO242</f>
        <v>0.04</v>
      </c>
      <c r="DP22" s="158">
        <f t="shared" si="48"/>
        <v>0.04</v>
      </c>
      <c r="DQ22" s="158">
        <f t="shared" si="48"/>
        <v>0.04</v>
      </c>
      <c r="DR22" s="158">
        <f t="shared" si="48"/>
        <v>0.04</v>
      </c>
      <c r="DS22" s="159">
        <f t="shared" si="48"/>
        <v>0.04</v>
      </c>
    </row>
    <row r="23" s="85" customFormat="1" spans="2:123">
      <c r="B23" s="144" t="s">
        <v>293</v>
      </c>
      <c r="C23" s="156"/>
      <c r="D23" s="157"/>
      <c r="E23" s="157"/>
      <c r="F23" s="157"/>
      <c r="G23" s="157"/>
      <c r="H23" s="156"/>
      <c r="I23" s="157"/>
      <c r="J23" s="157"/>
      <c r="K23" s="157"/>
      <c r="L23" s="157"/>
      <c r="M23" s="156"/>
      <c r="N23" s="157"/>
      <c r="O23" s="157"/>
      <c r="P23" s="157"/>
      <c r="Q23" s="157"/>
      <c r="R23" s="156"/>
      <c r="S23" s="157"/>
      <c r="T23" s="157"/>
      <c r="U23" s="157"/>
      <c r="V23" s="157"/>
      <c r="W23" s="156"/>
      <c r="X23" s="157"/>
      <c r="Y23" s="157"/>
      <c r="Z23" s="157"/>
      <c r="AA23" s="157"/>
      <c r="AB23" s="156"/>
      <c r="AC23" s="157"/>
      <c r="AD23" s="157"/>
      <c r="AE23" s="157"/>
      <c r="AF23" s="157"/>
      <c r="AG23" s="156"/>
      <c r="AH23" s="157"/>
      <c r="AI23" s="157"/>
      <c r="AJ23" s="157"/>
      <c r="AK23" s="157"/>
      <c r="AL23" s="156"/>
      <c r="AM23" s="157"/>
      <c r="AN23" s="157"/>
      <c r="AO23" s="157"/>
      <c r="AP23" s="157"/>
      <c r="AQ23" s="156"/>
      <c r="AR23" s="157"/>
      <c r="AS23" s="157"/>
      <c r="AT23" s="157"/>
      <c r="AU23" s="157"/>
      <c r="AV23" s="156"/>
      <c r="AW23" s="157"/>
      <c r="AX23" s="157"/>
      <c r="AY23" s="157"/>
      <c r="AZ23" s="157"/>
      <c r="BA23" s="156"/>
      <c r="BB23" s="157"/>
      <c r="BC23" s="157"/>
      <c r="BD23" s="157"/>
      <c r="BE23" s="157"/>
      <c r="BF23" s="156"/>
      <c r="BG23" s="157"/>
      <c r="BH23" s="157"/>
      <c r="BI23" s="157"/>
      <c r="BJ23" s="157"/>
      <c r="BK23" s="156"/>
      <c r="BL23" s="157"/>
      <c r="BM23" s="157"/>
      <c r="BN23" s="157"/>
      <c r="BO23" s="157"/>
      <c r="BP23" s="156"/>
      <c r="BQ23" s="157"/>
      <c r="BR23" s="157"/>
      <c r="BS23" s="157"/>
      <c r="BT23" s="157"/>
      <c r="BU23" s="156"/>
      <c r="BV23" s="157"/>
      <c r="BW23" s="157"/>
      <c r="BX23" s="157"/>
      <c r="BY23" s="157"/>
      <c r="BZ23" s="156"/>
      <c r="CA23" s="157"/>
      <c r="CB23" s="157"/>
      <c r="CC23" s="157"/>
      <c r="CD23" s="157"/>
      <c r="CE23" s="156"/>
      <c r="CF23" s="157"/>
      <c r="CG23" s="157"/>
      <c r="CH23" s="157"/>
      <c r="CI23" s="157"/>
      <c r="CJ23" s="156"/>
      <c r="CK23" s="157"/>
      <c r="CL23" s="157"/>
      <c r="CM23" s="157"/>
      <c r="CN23" s="157"/>
      <c r="CO23" s="156"/>
      <c r="CP23" s="157"/>
      <c r="CQ23" s="157"/>
      <c r="CR23" s="157"/>
      <c r="CS23" s="157">
        <f>CS300</f>
        <v>0.31</v>
      </c>
      <c r="CT23" s="156">
        <f t="shared" ref="CT23:DN23" si="49">CT300</f>
        <v>0.33</v>
      </c>
      <c r="CU23" s="158">
        <f t="shared" si="49"/>
        <v>0.4</v>
      </c>
      <c r="CV23" s="158">
        <f t="shared" si="49"/>
        <v>0.2</v>
      </c>
      <c r="CW23" s="158">
        <f t="shared" si="49"/>
        <v>0.2</v>
      </c>
      <c r="CX23" s="158">
        <f t="shared" si="49"/>
        <v>0.17</v>
      </c>
      <c r="CY23" s="159">
        <f t="shared" si="49"/>
        <v>0.2</v>
      </c>
      <c r="CZ23" s="158">
        <f t="shared" si="49"/>
        <v>0.07</v>
      </c>
      <c r="DA23" s="158">
        <f t="shared" si="49"/>
        <v>0.09</v>
      </c>
      <c r="DB23" s="158">
        <f t="shared" si="49"/>
        <v>0.18</v>
      </c>
      <c r="DC23" s="158">
        <f t="shared" si="49"/>
        <v>0.05</v>
      </c>
      <c r="DD23" s="159">
        <f t="shared" si="49"/>
        <v>0.07</v>
      </c>
      <c r="DE23" s="158">
        <f t="shared" si="49"/>
        <v>0.01</v>
      </c>
      <c r="DF23" s="158">
        <f t="shared" si="49"/>
        <v>-0.03</v>
      </c>
      <c r="DG23" s="158">
        <f t="shared" si="49"/>
        <v>-0.01</v>
      </c>
      <c r="DH23" s="158">
        <f t="shared" si="49"/>
        <v>-0.02</v>
      </c>
      <c r="DI23" s="159">
        <f t="shared" si="49"/>
        <v>-0.013489452323061</v>
      </c>
      <c r="DJ23" s="158">
        <f t="shared" si="49"/>
        <v>0</v>
      </c>
      <c r="DK23" s="158">
        <f t="shared" si="49"/>
        <v>0.02</v>
      </c>
      <c r="DL23" s="158">
        <f t="shared" si="49"/>
        <v>0.04</v>
      </c>
      <c r="DM23" s="158">
        <f t="shared" si="49"/>
        <v>0.04</v>
      </c>
      <c r="DN23" s="159">
        <f t="shared" si="49"/>
        <v>0.0256432921631323</v>
      </c>
      <c r="DO23" s="158">
        <f t="shared" ref="DO23:DS23" si="50">DO300</f>
        <v>0.06</v>
      </c>
      <c r="DP23" s="158">
        <f t="shared" si="50"/>
        <v>0.06</v>
      </c>
      <c r="DQ23" s="158">
        <f t="shared" si="50"/>
        <v>0.06</v>
      </c>
      <c r="DR23" s="158">
        <f t="shared" si="50"/>
        <v>0.06</v>
      </c>
      <c r="DS23" s="159">
        <f t="shared" si="50"/>
        <v>0.06</v>
      </c>
    </row>
    <row r="24" s="85" customFormat="1" spans="2:123">
      <c r="B24" s="160" t="s">
        <v>294</v>
      </c>
      <c r="C24" s="138">
        <f t="shared" ref="C24:AB24" si="51">C19</f>
        <v>0.18</v>
      </c>
      <c r="D24" s="139">
        <f t="shared" si="51"/>
        <v>0.22</v>
      </c>
      <c r="E24" s="139">
        <f t="shared" si="51"/>
        <v>0.09</v>
      </c>
      <c r="F24" s="139">
        <f t="shared" si="51"/>
        <v>0.21</v>
      </c>
      <c r="G24" s="139">
        <f t="shared" si="51"/>
        <v>0.22</v>
      </c>
      <c r="H24" s="138">
        <f t="shared" si="51"/>
        <v>0.19</v>
      </c>
      <c r="I24" s="139">
        <f t="shared" si="51"/>
        <v>0.15</v>
      </c>
      <c r="J24" s="139">
        <f t="shared" si="51"/>
        <v>0.32</v>
      </c>
      <c r="K24" s="139">
        <f t="shared" si="51"/>
        <v>0.29</v>
      </c>
      <c r="L24" s="139">
        <f t="shared" si="51"/>
        <v>0.23</v>
      </c>
      <c r="M24" s="138">
        <f t="shared" si="51"/>
        <v>0.249274898211263</v>
      </c>
      <c r="N24" s="139">
        <f t="shared" si="51"/>
        <v>0.15</v>
      </c>
      <c r="O24" s="139">
        <f t="shared" si="51"/>
        <v>0.25</v>
      </c>
      <c r="P24" s="139">
        <f t="shared" si="51"/>
        <v>0.26</v>
      </c>
      <c r="Q24" s="139">
        <f t="shared" si="51"/>
        <v>0.31</v>
      </c>
      <c r="R24" s="138">
        <f t="shared" si="51"/>
        <v>0.255247651862773</v>
      </c>
      <c r="S24" s="139">
        <f t="shared" si="51"/>
        <v>0.15</v>
      </c>
      <c r="T24" s="139">
        <f t="shared" si="51"/>
        <v>0.13</v>
      </c>
      <c r="U24" s="139">
        <f t="shared" si="51"/>
        <v>0.04</v>
      </c>
      <c r="V24" s="139">
        <f t="shared" si="51"/>
        <v>-0.08</v>
      </c>
      <c r="W24" s="138">
        <f t="shared" si="51"/>
        <v>0.0312112949061222</v>
      </c>
      <c r="X24" s="139">
        <f t="shared" si="51"/>
        <v>-0.08</v>
      </c>
      <c r="Y24" s="139">
        <f t="shared" si="51"/>
        <v>-0.02</v>
      </c>
      <c r="Z24" s="139">
        <f t="shared" si="51"/>
        <v>0.1</v>
      </c>
      <c r="AA24" s="139">
        <f t="shared" si="51"/>
        <v>0.29</v>
      </c>
      <c r="AB24" s="138">
        <f t="shared" si="51"/>
        <v>0.0835685199494164</v>
      </c>
      <c r="AC24" s="161">
        <f>(X28/(X28+X30))*AC19+(X30/(X30+X28))*AC462</f>
        <v>0.459117283950617</v>
      </c>
      <c r="AD24" s="161">
        <f>(Y28/(Y28+Y30))*AD19+(Y30/(Y30+Y28))*AD462</f>
        <v>0.377485779294653</v>
      </c>
      <c r="AE24" s="161">
        <f>(Z28/(Z28+Z30))*AE19+(Z30/(Z30+Z28))*AE462</f>
        <v>0.36802541544477</v>
      </c>
      <c r="AF24" s="161">
        <f>(AA28/(AA28+AA30))*AF19+(AA30/(AA30+AA28))*AF462</f>
        <v>0.37439672801636</v>
      </c>
      <c r="AG24" s="162">
        <f>(AC24*(X30+X28)+AD24*(Y30+Y28)+AE24*(Z30+Z28)+AF24*(AA30+AA28))/(AB30+AB28)</f>
        <v>0.388539897510981</v>
      </c>
      <c r="AH24" s="161">
        <f>(AC28/(AC28+AC30))*AH19+(AC30/(AC30+AC28))*AH462</f>
        <v>0.185924852154503</v>
      </c>
      <c r="AI24" s="161">
        <f>(AD28/(AD28+AD30))*AI19+(AD30/(AD30+AD28))*AI462</f>
        <v>0.250935251798561</v>
      </c>
      <c r="AJ24" s="161">
        <f>(AE28/(AE28+AE30))*AJ19+(AE30/(AE30+AE28))*AJ462</f>
        <v>0.213358876117497</v>
      </c>
      <c r="AK24" s="161">
        <f>(AF28/(AF28+AF30))*AK19+(AF30/(AF30+AF28))*AK462</f>
        <v>0.33509234828496</v>
      </c>
      <c r="AL24" s="162">
        <f>(AH24*(AC30+AC28)+AI24*(AD30+AD28)+AJ24*(AE30+AE28)+AK24*(AF30+AF28))/(AG30+AG28)</f>
        <v>0.258877597399389</v>
      </c>
      <c r="AM24" s="161">
        <f>(AH28/(AH28+AH30))*AM19+(AH30/(AH30+AH28))*AM462</f>
        <v>0.374293307982094</v>
      </c>
      <c r="AN24" s="161">
        <f>(AI28/(AI28+AI30))*AN19+(AI30/(AI30+AI28))*AN462</f>
        <v>0.221292481061664</v>
      </c>
      <c r="AO24" s="161">
        <f>(AJ28/(AJ28+AJ30))*AO19+(AJ30/(AJ30+AJ28))*AO462</f>
        <v>0.259096467772397</v>
      </c>
      <c r="AP24" s="161">
        <f>(AK28/(AK28+AK30))*AP19+(AK30/(AK30+AK28))*AP462</f>
        <v>0.167694138557495</v>
      </c>
      <c r="AQ24" s="162">
        <f>(AM24*(AH30+AH28)+AN24*(AI30+AI28)+AO24*(AJ30+AJ28)+AP24*(AK30+AK28))/(AL30+AL28)</f>
        <v>0.238382685293153</v>
      </c>
      <c r="AR24" s="161">
        <f>(AM28/(AM28+AM30))*AR19+(AM30/(AM30+AM28))*AR462</f>
        <v>0.118005171458935</v>
      </c>
      <c r="AS24" s="161">
        <f>(AN28/(AN28+AN30))*AS19+(AN30/(AN30+AN28))*AS462</f>
        <v>0.113048032511547</v>
      </c>
      <c r="AT24" s="161">
        <f>(AO28/(AO28+AO30))*AT19+(AO30/(AO30+AO28))*AT462</f>
        <v>0.0990493592849836</v>
      </c>
      <c r="AU24" s="161">
        <f>(AP28/(AP28+AP30))*AU19+(AP30/(AP30+AP28))*AU462</f>
        <v>0.0261155474522935</v>
      </c>
      <c r="AV24" s="162">
        <f>(AR24*(AM30+AM28)+AS24*(AN30+AN28)+AT24*(AO30+AO28)+AU24*(AP30+AP28))/(AQ30+AQ28)</f>
        <v>0.0800334842233462</v>
      </c>
      <c r="AW24" s="161">
        <f>(AR28/(AR28+AR30))*AW19+(AR30/(AR30+AR28))*AW465</f>
        <v>0.0101234457995408</v>
      </c>
      <c r="AX24" s="161">
        <f>(AS28/(AS28+AS30))*AX19+(AS30/(AS30+AS28))*AX465</f>
        <v>0.00330808455901292</v>
      </c>
      <c r="AY24" s="161">
        <f>(AT28/(AT28+AT30))*AY19+(AT30/(AT30+AT28))*AY465</f>
        <v>0.0229839244188402</v>
      </c>
      <c r="AZ24" s="161">
        <f>(AU28/(AU28+AU30))*AZ19+(AU30/(AU30+AU28))*AZ465</f>
        <v>0.0811861535893555</v>
      </c>
      <c r="BA24" s="162">
        <f>(AW24*(AR30+AR28)+AX24*(AS30+AS28)+AY24*(AT30+AT28)+AZ24*(AU30+AU28))/(AV30+AV28)</f>
        <v>0.0351658928082226</v>
      </c>
      <c r="BB24" s="161">
        <f>(AW28/(AW28+AW30))*BB19+(AW30/(AW30+AW28))*BB465</f>
        <v>0.0556558026783403</v>
      </c>
      <c r="BC24" s="161">
        <f>(AX28/(AX28+AX30))*BC19+(AX30/(AX30+AX28))*BC465</f>
        <v>0.113860738437805</v>
      </c>
      <c r="BD24" s="161">
        <f>(AY28/(AY28+AY30))*BD19+(AY30/(AY30+AY28))*BD465</f>
        <v>0.091497581323569</v>
      </c>
      <c r="BE24" s="161">
        <f>(AZ28/(AZ28+AZ30))*BE19+(AZ30/(AZ30+AZ28))*BE465</f>
        <v>0.109232088317961</v>
      </c>
      <c r="BF24" s="162">
        <f>(BB24*(AW30+AW28)+BC24*(AX30+AX28)+BD24*(AY30+AY28)+BE24*(AZ30+AZ28))/(BA30+BA28)</f>
        <v>0.0947465429736716</v>
      </c>
      <c r="BG24" s="161">
        <f>(BB28/(BB28+BB30))*BG19+(BB30/(BB30+BB28))*BG465</f>
        <v>0.0769874416099243</v>
      </c>
      <c r="BH24" s="161">
        <f>(BC28/(BC28+BC30))*BH19+(BC30/(BC30+BC28))*BH465</f>
        <v>0.0465240302115506</v>
      </c>
      <c r="BI24" s="161">
        <f>(BD28/(BD28+BD30))*BI19+(BD30/(BD30+BD28))*BI465</f>
        <v>0.0650939062044728</v>
      </c>
      <c r="BJ24" s="161">
        <f>(BE28/(BE28+BE30))*BJ19+(BE30/(BE30+BE28))*BJ465</f>
        <v>0.0740528036791374</v>
      </c>
      <c r="BK24" s="162">
        <f>(BG24*(BB30+BB28)+BH24*(BC30+BC28)+BI24*(BD30+BD28)+BJ24*(BE30+BE28))/(BF30+BF28)</f>
        <v>0.0665356239562955</v>
      </c>
      <c r="BL24" s="161">
        <f>(BG28/(BG28+BG30))*BL19+(BG30/(BG30+BG28))*BL465</f>
        <v>-0.00861340872728866</v>
      </c>
      <c r="BM24" s="161">
        <f>(BH28/(BH28+BH30))*BM19+(BH30/(BH30+BH28))*BM465</f>
        <v>0.0729316140427464</v>
      </c>
      <c r="BN24" s="161">
        <f>(BI28/(BI28+BI30))*BN19+(BI30/(BI30+BI28))*BN465</f>
        <v>0.0599057286612608</v>
      </c>
      <c r="BO24" s="161">
        <f>(BJ28/(BJ28+BJ30))*BO19+(BJ30/(BJ30+BJ28))*BO465</f>
        <v>0.101014465348057</v>
      </c>
      <c r="BP24" s="162">
        <f>(BL24*(BG30+BG28)+BM24*(BH30+BH28)+BN24*(BI30+BI28)+BO24*(BJ30+BJ28))/(BK30+BK28)</f>
        <v>0.0622512628133709</v>
      </c>
      <c r="BQ24" s="161">
        <f>(BL28/(BL28+BL30))*BQ19+(BL30/(BL30+BL28))*BQ465</f>
        <v>0.170220439114717</v>
      </c>
      <c r="BR24" s="161">
        <f>(BM28/(BM28+BM30))*BR19+(BM30/(BM30+BM28))*BR465</f>
        <v>0.179371319922656</v>
      </c>
      <c r="BS24" s="161">
        <f>(BN28/(BN28+BN30))*BS19+(BN30/(BN30+BN28))*BS465</f>
        <v>0.161968968920384</v>
      </c>
      <c r="BT24" s="161">
        <f>(BO28/(BO28+BO30))*BT19+(BO30/(BO30+BO28))*BT20</f>
        <v>0.158375748502994</v>
      </c>
      <c r="BU24" s="162">
        <f>(BQ24*(BL30+BL28)+BR24*(BM30+BM28)+BS24*(BN30+BN28)+BT24*(BO30+BO28))/(BP30+BP28)</f>
        <v>0.166122359643441</v>
      </c>
      <c r="BV24" s="161">
        <f>(BQ28/(BQ28+BQ30))*BV19+(BQ30/(BQ30+BQ28))*BV465</f>
        <v>0.152107828205909</v>
      </c>
      <c r="BW24" s="161">
        <f>(BR28/(BR28+BR30))*BW19+(BR30/(BR30+BR28))*BW465</f>
        <v>0.161208320587336</v>
      </c>
      <c r="BX24" s="161">
        <f>(BS28/(BS28+BS30))*BX19+(BS30/(BS30+BS28))*BX465</f>
        <v>0.164005466400101</v>
      </c>
      <c r="BY24" s="161">
        <f>(BT28/(BT28+BT30))*BY19+(BT30/(BT30+BT28))*BY465</f>
        <v>0.172250315808484</v>
      </c>
      <c r="BZ24" s="162">
        <f>(BV24*(BQ30+BQ28)+BW24*(BR30+BR28)+BX24*(BS30+BS28)+BY24*(BT30+BT28))/(BU30+BU28)</f>
        <v>0.164004553769757</v>
      </c>
      <c r="CA24" s="163">
        <f>(BV28/(BV28+BV30))*CA19+(BV30/(BV30+BV28))*CA465</f>
        <v>-0.142351110725142</v>
      </c>
      <c r="CB24" s="161">
        <f>(BW28/(BW28+BW30))*CB19+(BW30/(BW30+BW28))*CB465</f>
        <v>0.045590332301699</v>
      </c>
      <c r="CC24" s="161">
        <f>(BX28/(BX28+BX30))*CC19+(BX30/(BX30+BX28))*CC465</f>
        <v>0.151441539578794</v>
      </c>
      <c r="CD24" s="161">
        <f>(BY28/(BY28+BY30))*CD19+(BY30/(BY30+BY28))*CD465</f>
        <v>0.143170656370656</v>
      </c>
      <c r="CE24" s="162">
        <f>(CA24*(BV30+BV28)+CB24*(BW30+BW28)+CC24*(BX30+BX28)+CD24*(BY30+BY28))/(BZ30+BZ28)</f>
        <v>0.0673567000716348</v>
      </c>
      <c r="CF24" s="161">
        <f>(CA28/(CA28+CA30))*CF19+(CA30/(CA30+CA28))*CF465</f>
        <v>0.696461367398192</v>
      </c>
      <c r="CG24" s="161">
        <f>(CB28/(CB28+CB30))*CG19+(CB30/(CB30+CB28))*CG465</f>
        <v>0.44784789067142</v>
      </c>
      <c r="CH24" s="161">
        <f>(CC28/(CC28+CC30))*CH19+(CC30/(CC30+CC28))*CH465</f>
        <v>0.261691533192797</v>
      </c>
      <c r="CI24" s="161">
        <f>(CD28/(CD28+CD30))*CI19+(CD30/(CD30+CD28))*CI465</f>
        <v>0.224015174606012</v>
      </c>
      <c r="CJ24" s="162">
        <f>(CF24*(CA30+CA28)+CG24*(CB30+CB28)+CH24*(CC30+CC28)+CI24*(CD30+CD28))/(CE30+CE28)</f>
        <v>0.354579005167549</v>
      </c>
      <c r="CK24" s="161">
        <f>(CF28/(CF28+CF30))*CK19+(CF30/(CF30+CF28))*CK465</f>
        <v>0.285354280917532</v>
      </c>
      <c r="CL24" s="161">
        <f>(CG28/(CG28+CG30))*CL19+(CG30/(CG30+CG28))*CL465</f>
        <v>0.244709217312189</v>
      </c>
      <c r="CM24" s="161">
        <f>(CH28/(CH28+CH30))*CM19+(CH30/(CH30+CH28))*CM465</f>
        <v>0.247073823998887</v>
      </c>
      <c r="CN24" s="161">
        <f>(CI28/(CI28+CI30))*CN19+(CI30/(CI30+CI28))*CN465</f>
        <v>0.289468472078553</v>
      </c>
      <c r="CO24" s="162">
        <f>(CK24*(CF30+CF28)+CL24*(CG30+CG28)+CM24*(CH30+CH28)+CN24*(CI30+CI28))/(CJ30+CJ28)</f>
        <v>0.268546924594794</v>
      </c>
      <c r="CP24" s="161">
        <f>(CK28/(CK28+CK30))*CP19+(CK30/(CK30+CK28))*CP465</f>
        <v>0.169928754171952</v>
      </c>
      <c r="CQ24" s="161">
        <f>(CL28/(CL28+CL30))*CQ19+(CL30/(CL30+CL28))*CQ465</f>
        <v>0.126957954175807</v>
      </c>
      <c r="CR24" s="161">
        <f>(CM28/(CM28+CM30))*CR19+(CM30/(CM30+CM28))*CR465</f>
        <v>0.135937856012682</v>
      </c>
      <c r="CS24" s="161">
        <f>(CN28/(CN28+CN30))*CS19+(CN30/(CN30+CN28))*CS465</f>
        <v>0.122028530941642</v>
      </c>
      <c r="CT24" s="162">
        <f>(CP24*(CK30+CK28)+CQ24*(CL30+CL28)+CR24*(CM30+CM28)+CS24*(CN30+CN28))/(CO30+CO28)</f>
        <v>0.135787599970495</v>
      </c>
      <c r="CU24" s="164">
        <f>((CU21*CP10)+(CU22*CP11)+(CU23*CP12))/CP13</f>
        <v>0.0792270460897485</v>
      </c>
      <c r="CV24" s="164">
        <f>((CV21*CQ10)+(CV22*CQ11)+(CV23*CQ12))/CQ13</f>
        <v>0.0319198837569851</v>
      </c>
      <c r="CW24" s="164">
        <f>((CW21*CR10)+(CW22*CR11)+(CW23*CR12))/CR13</f>
        <v>0.0312400316121182</v>
      </c>
      <c r="CX24" s="164">
        <f>((CX21*CS10)+(CX22*CS11)+(CX23*CS12))/CS13</f>
        <v>0.0405407408123857</v>
      </c>
      <c r="CY24" s="165">
        <f>(SUMPRODUCT(CU21:CX21,CP10:CS10)+SUMPRODUCT(CU22:CX22,CP11:CS11)+SUMPRODUCT(CU23:CX23,CP12:CS12))/CT13</f>
        <v>0.0444763338786965</v>
      </c>
      <c r="CZ24" s="164">
        <f>((CZ21*CU10)+(CZ22*CU11)+(CZ23*CU12))/CU13</f>
        <v>0.0126213154021633</v>
      </c>
      <c r="DA24" s="164">
        <f>((DA21*CV10)+(DA22*CV11)+(DA23*CV12))/CV13</f>
        <v>0.0111418898914333</v>
      </c>
      <c r="DB24" s="164">
        <f>((DB21*CW10)+(DB22*CW11)+(DB23*CW12))/CW13</f>
        <v>0.0193997479826091</v>
      </c>
      <c r="DC24" s="164">
        <f>((DC21*CX10)+(DC22*CX11)+(DC23*CX12))/CX13</f>
        <v>0.0205578185444983</v>
      </c>
      <c r="DD24" s="165">
        <f>(SUMPRODUCT(CZ21:DC21,CU10:CX10)+SUMPRODUCT(CZ22:DC22,CU11:CX11)+SUMPRODUCT(CZ23:DC23,CU12:CX12))/CY13</f>
        <v>0.0165313956407394</v>
      </c>
      <c r="DE24" s="164">
        <f t="shared" ref="DE24:DH24" si="52">((DE21*CZ10)+(DE22*CZ11)+(DE23*CZ12))/CZ13</f>
        <v>-0.02081291285971</v>
      </c>
      <c r="DF24" s="164">
        <f t="shared" si="52"/>
        <v>-0.100443169483518</v>
      </c>
      <c r="DG24" s="164">
        <f t="shared" si="52"/>
        <v>-0.128968182951924</v>
      </c>
      <c r="DH24" s="164">
        <f t="shared" si="52"/>
        <v>-0.126663793214735</v>
      </c>
      <c r="DI24" s="165">
        <f>(SUMPRODUCT(DE21:DH21,CZ10:DC10)+SUMPRODUCT(DE22:DH22,CZ11:DC11)+SUMPRODUCT(DE23:DH23,CZ12:DC12))/DD13</f>
        <v>-0.0986310454308</v>
      </c>
      <c r="DJ24" s="164">
        <f t="shared" ref="DJ24:DM24" si="53">((DJ21*DE10)+(DJ22*DE11)+(DJ23*DE12))/DE13</f>
        <v>-0.0681204869875947</v>
      </c>
      <c r="DK24" s="164">
        <f t="shared" si="53"/>
        <v>-0.05533183255224</v>
      </c>
      <c r="DL24" s="164">
        <f t="shared" si="53"/>
        <v>-0.0239426567167493</v>
      </c>
      <c r="DM24" s="164">
        <f t="shared" si="53"/>
        <v>-0.0298607798310079</v>
      </c>
      <c r="DN24" s="165">
        <f>(SUMPRODUCT(DJ21:DM21,DE10:DH10)+SUMPRODUCT(DJ22:DM22,DE11:DH11)+SUMPRODUCT(DJ23:DM23,DE12:DH12))/DI13</f>
        <v>-0.0434647659204387</v>
      </c>
      <c r="DO24" s="164">
        <f t="shared" ref="DO24" si="54">((DO21*DJ10)+(DO22*DJ11)+(DO23*DJ12))/DJ13</f>
        <v>-0.00689211976976648</v>
      </c>
      <c r="DP24" s="164">
        <f t="shared" ref="DP24" si="55">((DP21*DK10)+(DP22*DK11)+(DP23*DK12))/DK13</f>
        <v>-0.00777037643901516</v>
      </c>
      <c r="DQ24" s="164">
        <f t="shared" ref="DQ24" si="56">((DQ21*DL10)+(DQ22*DL11)+(DQ23*DL12))/DL13</f>
        <v>-0.00462141731253386</v>
      </c>
      <c r="DR24" s="164">
        <f t="shared" ref="DR24" si="57">((DR21*DM10)+(DR22*DM11)+(DR23*DM12))/DM13</f>
        <v>-0.0111053078811975</v>
      </c>
      <c r="DS24" s="165">
        <f>(SUMPRODUCT(DO21:DR21,DJ10:DM10)+SUMPRODUCT(DO22:DR22,DJ11:DM11)+SUMPRODUCT(DO23:DR23,DJ12:DM12))/DN13</f>
        <v>-0.00790832914573734</v>
      </c>
    </row>
    <row r="25" s="85" customFormat="1" spans="2:123">
      <c r="B25" s="160" t="s">
        <v>295</v>
      </c>
      <c r="C25" s="138"/>
      <c r="D25" s="139"/>
      <c r="E25" s="139"/>
      <c r="F25" s="139"/>
      <c r="G25" s="139"/>
      <c r="H25" s="138"/>
      <c r="I25" s="139"/>
      <c r="J25" s="139"/>
      <c r="K25" s="139"/>
      <c r="L25" s="139"/>
      <c r="M25" s="138"/>
      <c r="N25" s="139"/>
      <c r="O25" s="139"/>
      <c r="P25" s="139"/>
      <c r="Q25" s="139"/>
      <c r="R25" s="138"/>
      <c r="S25" s="139"/>
      <c r="T25" s="139"/>
      <c r="U25" s="139"/>
      <c r="V25" s="139"/>
      <c r="W25" s="138"/>
      <c r="X25" s="139"/>
      <c r="Y25" s="139"/>
      <c r="Z25" s="139"/>
      <c r="AA25" s="139"/>
      <c r="AB25" s="138"/>
      <c r="AC25" s="161"/>
      <c r="AD25" s="161"/>
      <c r="AE25" s="161"/>
      <c r="AF25" s="161"/>
      <c r="AG25" s="162"/>
      <c r="AH25" s="161"/>
      <c r="AI25" s="161"/>
      <c r="AJ25" s="161"/>
      <c r="AK25" s="161"/>
      <c r="AL25" s="162"/>
      <c r="AM25" s="161"/>
      <c r="AN25" s="161"/>
      <c r="AO25" s="161"/>
      <c r="AP25" s="161"/>
      <c r="AQ25" s="162"/>
      <c r="AR25" s="161"/>
      <c r="AS25" s="161"/>
      <c r="AT25" s="161"/>
      <c r="AU25" s="161"/>
      <c r="AV25" s="162"/>
      <c r="AW25" s="161"/>
      <c r="AX25" s="161"/>
      <c r="AY25" s="161"/>
      <c r="AZ25" s="161"/>
      <c r="BA25" s="162"/>
      <c r="BB25" s="161">
        <v>0.06</v>
      </c>
      <c r="BC25" s="161">
        <v>0.11</v>
      </c>
      <c r="BD25" s="161">
        <v>0.09</v>
      </c>
      <c r="BE25" s="161">
        <v>0.11</v>
      </c>
      <c r="BF25" s="162">
        <v>0.1</v>
      </c>
      <c r="BG25" s="161">
        <v>0.08</v>
      </c>
      <c r="BH25" s="161">
        <v>0.05</v>
      </c>
      <c r="BI25" s="161">
        <v>0.07</v>
      </c>
      <c r="BJ25" s="161">
        <v>0.07</v>
      </c>
      <c r="BK25" s="162">
        <v>0.07</v>
      </c>
      <c r="BL25" s="161">
        <v>-0.01</v>
      </c>
      <c r="BM25" s="161">
        <v>0.07</v>
      </c>
      <c r="BN25" s="161">
        <v>0.07</v>
      </c>
      <c r="BO25" s="161">
        <v>0.11</v>
      </c>
      <c r="BP25" s="162">
        <v>0.07</v>
      </c>
      <c r="BQ25" s="161">
        <v>0.19</v>
      </c>
      <c r="BR25" s="161">
        <v>0.19</v>
      </c>
      <c r="BS25" s="161">
        <v>0.18</v>
      </c>
      <c r="BT25" s="161">
        <v>0.17</v>
      </c>
      <c r="BU25" s="162">
        <v>0.18</v>
      </c>
      <c r="BV25" s="161">
        <v>0.16</v>
      </c>
      <c r="BW25" s="161">
        <v>0.17</v>
      </c>
      <c r="BX25" s="161">
        <v>0.17</v>
      </c>
      <c r="BY25" s="161">
        <v>0.2</v>
      </c>
      <c r="BZ25" s="162">
        <v>0.18</v>
      </c>
      <c r="CA25" s="751" t="s">
        <v>208</v>
      </c>
      <c r="CB25" s="751" t="s">
        <v>208</v>
      </c>
      <c r="CC25" s="161">
        <v>0.18</v>
      </c>
      <c r="CD25" s="161">
        <v>0.2</v>
      </c>
      <c r="CE25" s="162"/>
      <c r="CF25" s="751" t="s">
        <v>208</v>
      </c>
      <c r="CG25" s="751" t="s">
        <v>208</v>
      </c>
      <c r="CH25" s="161">
        <v>0.27</v>
      </c>
      <c r="CI25" s="161">
        <v>0.22</v>
      </c>
      <c r="CJ25" s="752" t="s">
        <v>208</v>
      </c>
      <c r="CK25" s="161">
        <v>0.29</v>
      </c>
      <c r="CL25" s="161">
        <v>0.25</v>
      </c>
      <c r="CM25" s="164">
        <v>0.25</v>
      </c>
      <c r="CN25" s="164">
        <v>0.3</v>
      </c>
      <c r="CO25" s="162"/>
      <c r="CP25" s="164">
        <v>0.17</v>
      </c>
      <c r="CQ25" s="161">
        <v>0.13</v>
      </c>
      <c r="CR25" s="161">
        <v>0.14</v>
      </c>
      <c r="CS25" s="161">
        <v>0.12</v>
      </c>
      <c r="CT25" s="162"/>
      <c r="CU25" s="161">
        <v>0.07</v>
      </c>
      <c r="CV25" s="161">
        <v>0.03</v>
      </c>
      <c r="CW25" s="161">
        <v>0.03</v>
      </c>
      <c r="CX25" s="161">
        <v>0.04</v>
      </c>
      <c r="CY25" s="162"/>
      <c r="CZ25" s="161">
        <v>0.01</v>
      </c>
      <c r="DA25" s="161">
        <v>0.01</v>
      </c>
      <c r="DB25" s="161">
        <v>0.02</v>
      </c>
      <c r="DC25" s="161">
        <v>0.02</v>
      </c>
      <c r="DD25" s="162"/>
      <c r="DE25" s="161">
        <v>-0.02</v>
      </c>
      <c r="DF25" s="161">
        <v>-0.1</v>
      </c>
      <c r="DG25" s="161"/>
      <c r="DH25" s="161"/>
      <c r="DI25" s="162"/>
      <c r="DJ25" s="161"/>
      <c r="DK25" s="161"/>
      <c r="DL25" s="161"/>
      <c r="DM25" s="161"/>
      <c r="DN25" s="162"/>
      <c r="DO25" s="161"/>
      <c r="DP25" s="161"/>
      <c r="DQ25" s="161"/>
      <c r="DR25" s="161"/>
      <c r="DS25" s="162"/>
    </row>
    <row r="26" s="86" customFormat="1" spans="2:123">
      <c r="B26" s="166"/>
      <c r="C26" s="167"/>
      <c r="D26" s="168"/>
      <c r="E26" s="168"/>
      <c r="F26" s="168"/>
      <c r="G26" s="168"/>
      <c r="H26" s="167"/>
      <c r="I26" s="168"/>
      <c r="J26" s="168"/>
      <c r="K26" s="168"/>
      <c r="L26" s="168"/>
      <c r="M26" s="167"/>
      <c r="N26" s="168"/>
      <c r="O26" s="168"/>
      <c r="P26" s="168"/>
      <c r="Q26" s="168"/>
      <c r="R26" s="167"/>
      <c r="S26" s="169"/>
      <c r="T26" s="169"/>
      <c r="U26" s="169"/>
      <c r="V26" s="169"/>
      <c r="W26" s="170"/>
      <c r="X26" s="169"/>
      <c r="Y26" s="169"/>
      <c r="Z26" s="169"/>
      <c r="AA26" s="169"/>
      <c r="AB26" s="170"/>
      <c r="AC26" s="169"/>
      <c r="AD26" s="169"/>
      <c r="AE26" s="169"/>
      <c r="AF26" s="169"/>
      <c r="AG26" s="170"/>
      <c r="AH26" s="169"/>
      <c r="AI26" s="169"/>
      <c r="AJ26" s="169"/>
      <c r="AK26" s="169"/>
      <c r="AL26" s="170"/>
      <c r="AM26" s="169"/>
      <c r="AN26" s="169"/>
      <c r="AO26" s="169"/>
      <c r="AP26" s="169"/>
      <c r="AQ26" s="170"/>
      <c r="AR26" s="169"/>
      <c r="AS26" s="169"/>
      <c r="AT26" s="169"/>
      <c r="AU26" s="169"/>
      <c r="AV26" s="170"/>
      <c r="AW26" s="169"/>
      <c r="AX26" s="169"/>
      <c r="AY26" s="169"/>
      <c r="AZ26" s="169"/>
      <c r="BA26" s="170"/>
      <c r="BB26" s="168"/>
      <c r="BC26" s="168"/>
      <c r="BD26" s="168"/>
      <c r="BE26" s="168"/>
      <c r="BF26" s="170"/>
      <c r="BG26" s="168"/>
      <c r="BH26" s="168"/>
      <c r="BI26" s="168"/>
      <c r="BJ26" s="168"/>
      <c r="BK26" s="170"/>
      <c r="BL26" s="168"/>
      <c r="BM26" s="168"/>
      <c r="BN26" s="168"/>
      <c r="BO26" s="168"/>
      <c r="BP26" s="170"/>
      <c r="BQ26" s="168"/>
      <c r="BR26" s="168"/>
      <c r="BS26" s="168"/>
      <c r="BT26" s="168"/>
      <c r="BU26" s="170"/>
      <c r="BV26" s="168"/>
      <c r="BW26" s="168"/>
      <c r="BX26" s="168"/>
      <c r="BY26" s="168"/>
      <c r="BZ26" s="167"/>
      <c r="CA26" s="168"/>
      <c r="CB26" s="168"/>
      <c r="CC26" s="168"/>
      <c r="CD26" s="168"/>
      <c r="CE26" s="167"/>
      <c r="CF26" s="168"/>
      <c r="CG26" s="168"/>
      <c r="CH26" s="168"/>
      <c r="CI26" s="168"/>
      <c r="CJ26" s="167"/>
      <c r="CK26" s="168"/>
      <c r="CL26" s="168"/>
      <c r="CM26" s="168"/>
      <c r="CN26" s="168"/>
      <c r="CO26" s="167"/>
      <c r="CP26" s="168"/>
      <c r="CQ26" s="168"/>
      <c r="CR26" s="168"/>
      <c r="CS26" s="168"/>
      <c r="CT26" s="167"/>
      <c r="CU26" s="168"/>
      <c r="CV26" s="168"/>
      <c r="CW26" s="168"/>
      <c r="CX26" s="168"/>
      <c r="CY26" s="167"/>
      <c r="CZ26" s="168"/>
      <c r="DA26" s="168"/>
      <c r="DB26" s="168"/>
      <c r="DC26" s="168"/>
      <c r="DD26" s="167"/>
      <c r="DE26" s="168"/>
      <c r="DF26" s="168"/>
      <c r="DG26" s="168"/>
      <c r="DH26" s="168"/>
      <c r="DI26" s="167"/>
      <c r="DJ26" s="168"/>
      <c r="DK26" s="168"/>
      <c r="DL26" s="168"/>
      <c r="DM26" s="168"/>
      <c r="DN26" s="167"/>
      <c r="DO26" s="168"/>
      <c r="DP26" s="168"/>
      <c r="DQ26" s="168"/>
      <c r="DR26" s="168"/>
      <c r="DS26" s="167"/>
    </row>
    <row r="27" s="86" customFormat="1" spans="2:123">
      <c r="B27" s="130" t="s">
        <v>296</v>
      </c>
      <c r="C27" s="167"/>
      <c r="D27" s="168"/>
      <c r="E27" s="168"/>
      <c r="F27" s="168"/>
      <c r="G27" s="168"/>
      <c r="H27" s="167"/>
      <c r="I27" s="168"/>
      <c r="J27" s="168"/>
      <c r="K27" s="168"/>
      <c r="L27" s="168"/>
      <c r="M27" s="167"/>
      <c r="N27" s="168"/>
      <c r="O27" s="168"/>
      <c r="P27" s="168"/>
      <c r="Q27" s="168"/>
      <c r="R27" s="167"/>
      <c r="S27" s="169"/>
      <c r="T27" s="169"/>
      <c r="U27" s="169"/>
      <c r="V27" s="169"/>
      <c r="W27" s="170"/>
      <c r="X27" s="169"/>
      <c r="Y27" s="169"/>
      <c r="Z27" s="169"/>
      <c r="AA27" s="169"/>
      <c r="AB27" s="170"/>
      <c r="AC27" s="169"/>
      <c r="AD27" s="169"/>
      <c r="AE27" s="169"/>
      <c r="AF27" s="169"/>
      <c r="AG27" s="170"/>
      <c r="AH27" s="169"/>
      <c r="AI27" s="169"/>
      <c r="AJ27" s="169"/>
      <c r="AK27" s="169"/>
      <c r="AL27" s="170"/>
      <c r="AM27" s="169"/>
      <c r="AN27" s="169"/>
      <c r="AO27" s="169"/>
      <c r="AP27" s="169"/>
      <c r="AQ27" s="170"/>
      <c r="AR27" s="169"/>
      <c r="AS27" s="169"/>
      <c r="AT27" s="169"/>
      <c r="AU27" s="169"/>
      <c r="AV27" s="170"/>
      <c r="AW27" s="169"/>
      <c r="AX27" s="169"/>
      <c r="AY27" s="169"/>
      <c r="AZ27" s="169"/>
      <c r="BA27" s="170"/>
      <c r="BB27" s="168"/>
      <c r="BC27" s="168"/>
      <c r="BD27" s="168"/>
      <c r="BE27" s="168"/>
      <c r="BF27" s="170"/>
      <c r="BG27" s="168"/>
      <c r="BH27" s="168"/>
      <c r="BI27" s="168"/>
      <c r="BJ27" s="168"/>
      <c r="BK27" s="170"/>
      <c r="BL27" s="168"/>
      <c r="BM27" s="168"/>
      <c r="BN27" s="168"/>
      <c r="BO27" s="168"/>
      <c r="BP27" s="170"/>
      <c r="BQ27" s="168"/>
      <c r="BR27" s="168"/>
      <c r="BS27" s="168"/>
      <c r="BT27" s="168"/>
      <c r="BU27" s="170"/>
      <c r="BV27" s="168"/>
      <c r="BW27" s="168"/>
      <c r="BX27" s="168"/>
      <c r="BY27" s="168"/>
      <c r="BZ27" s="167"/>
      <c r="CA27" s="168"/>
      <c r="CB27" s="168"/>
      <c r="CC27" s="168"/>
      <c r="CD27" s="168"/>
      <c r="CE27" s="167"/>
      <c r="CF27" s="168"/>
      <c r="CG27" s="168"/>
      <c r="CH27" s="168"/>
      <c r="CI27" s="168"/>
      <c r="CJ27" s="167"/>
      <c r="CK27" s="168"/>
      <c r="CL27" s="168"/>
      <c r="CM27" s="168"/>
      <c r="CN27" s="168"/>
      <c r="CO27" s="167"/>
      <c r="CP27" s="168"/>
      <c r="CQ27" s="168"/>
      <c r="CR27" s="168"/>
      <c r="CS27" s="168"/>
      <c r="CT27" s="167"/>
      <c r="CU27" s="168"/>
      <c r="CV27" s="168"/>
      <c r="CW27" s="168"/>
      <c r="CX27" s="168"/>
      <c r="CY27" s="167"/>
      <c r="CZ27" s="168"/>
      <c r="DA27" s="168"/>
      <c r="DB27" s="168"/>
      <c r="DC27" s="168"/>
      <c r="DD27" s="167"/>
      <c r="DE27" s="168"/>
      <c r="DF27" s="168"/>
      <c r="DG27" s="168"/>
      <c r="DH27" s="168"/>
      <c r="DI27" s="167"/>
      <c r="DJ27" s="168"/>
      <c r="DK27" s="168"/>
      <c r="DL27" s="168"/>
      <c r="DM27" s="168"/>
      <c r="DN27" s="167"/>
      <c r="DO27" s="168"/>
      <c r="DP27" s="168"/>
      <c r="DQ27" s="168"/>
      <c r="DR27" s="168"/>
      <c r="DS27" s="167"/>
    </row>
    <row r="28" spans="2:123">
      <c r="B28" s="123" t="s">
        <v>53</v>
      </c>
      <c r="C28" s="124">
        <f>C383</f>
        <v>29.906</v>
      </c>
      <c r="D28" s="125">
        <f>D383</f>
        <v>11.052</v>
      </c>
      <c r="E28" s="125">
        <f>E383</f>
        <v>13.455</v>
      </c>
      <c r="F28" s="125">
        <f>F383</f>
        <v>15.62</v>
      </c>
      <c r="G28" s="125">
        <f>G383</f>
        <v>25.45</v>
      </c>
      <c r="H28" s="124">
        <f>SUM(D28:G28)</f>
        <v>65.577</v>
      </c>
      <c r="I28" s="125">
        <f>I383</f>
        <v>22.146</v>
      </c>
      <c r="J28" s="125">
        <f>J383</f>
        <v>26.831</v>
      </c>
      <c r="K28" s="125">
        <f>K383</f>
        <v>29.145</v>
      </c>
      <c r="L28" s="125">
        <f>L383</f>
        <v>42.612</v>
      </c>
      <c r="M28" s="124">
        <f>SUM(I28:L28)</f>
        <v>120.734</v>
      </c>
      <c r="N28" s="125">
        <f>N383</f>
        <v>38.008</v>
      </c>
      <c r="O28" s="125">
        <f>O383</f>
        <v>53.1</v>
      </c>
      <c r="P28" s="125">
        <f>P383</f>
        <v>59.9</v>
      </c>
      <c r="Q28" s="125">
        <f>Q383</f>
        <v>92.5</v>
      </c>
      <c r="R28" s="124">
        <f>SUM(N28:Q28)</f>
        <v>243.508</v>
      </c>
      <c r="S28" s="125">
        <f>S383</f>
        <v>70.6</v>
      </c>
      <c r="T28" s="125">
        <f>T383</f>
        <v>78.3</v>
      </c>
      <c r="U28" s="125">
        <f>U383</f>
        <v>77.6</v>
      </c>
      <c r="V28" s="125">
        <f>V383</f>
        <v>89.047803</v>
      </c>
      <c r="W28" s="124">
        <f>SUM(S28:V28)</f>
        <v>315.547803</v>
      </c>
      <c r="X28" s="125">
        <f>X383</f>
        <v>72.031</v>
      </c>
      <c r="Y28" s="125">
        <f>Y383</f>
        <v>85.1</v>
      </c>
      <c r="Z28" s="125">
        <f>Z383</f>
        <v>98.1</v>
      </c>
      <c r="AA28" s="125">
        <f>AA383</f>
        <v>138.3</v>
      </c>
      <c r="AB28" s="124">
        <f>SUM(X28:AA28)</f>
        <v>393.531</v>
      </c>
      <c r="AC28" s="125">
        <f>AC383</f>
        <v>115.597</v>
      </c>
      <c r="AD28" s="125">
        <f>AD383</f>
        <v>129.4</v>
      </c>
      <c r="AE28" s="125">
        <f>AE383</f>
        <v>143.2</v>
      </c>
      <c r="AF28" s="125">
        <f>AF383</f>
        <v>202.8</v>
      </c>
      <c r="AG28" s="124">
        <f>SUM(AC28:AF28)</f>
        <v>590.997</v>
      </c>
      <c r="AH28" s="125">
        <f>AH383</f>
        <v>156.5</v>
      </c>
      <c r="AI28" s="125">
        <f>AI383</f>
        <v>178.223</v>
      </c>
      <c r="AJ28" s="125">
        <f>AJ383</f>
        <v>190.016</v>
      </c>
      <c r="AK28" s="125">
        <f>AK383</f>
        <v>292.47028</v>
      </c>
      <c r="AL28" s="124">
        <f>SUM(AH28:AK28)</f>
        <v>817.20928</v>
      </c>
      <c r="AM28" s="125">
        <f>AM383</f>
        <v>228.789</v>
      </c>
      <c r="AN28" s="125">
        <f>AN383</f>
        <v>231.314</v>
      </c>
      <c r="AO28" s="125">
        <f>AO383</f>
        <v>252.046</v>
      </c>
      <c r="AP28" s="125">
        <f>AP383</f>
        <v>378.032</v>
      </c>
      <c r="AQ28" s="124">
        <f>SUM(AM28:AP28)</f>
        <v>1090.181</v>
      </c>
      <c r="AR28" s="125">
        <f>AR383</f>
        <v>269.357</v>
      </c>
      <c r="AS28" s="125">
        <f>AS383</f>
        <v>273.768</v>
      </c>
      <c r="AT28" s="125">
        <f>AT383</f>
        <v>290.666</v>
      </c>
      <c r="AU28" s="125">
        <f>AU383</f>
        <v>395.208</v>
      </c>
      <c r="AV28" s="124">
        <f>SUM(AR28:AU28)</f>
        <v>1228.999</v>
      </c>
      <c r="AW28" s="125">
        <f>AW383</f>
        <v>288.101</v>
      </c>
      <c r="AX28" s="125">
        <f>AX383</f>
        <v>294.04</v>
      </c>
      <c r="AY28" s="125">
        <f>AY383</f>
        <v>310.014</v>
      </c>
      <c r="AZ28" s="125">
        <f>AZ383</f>
        <v>456.07</v>
      </c>
      <c r="BA28" s="124">
        <f>SUM(AW28:AZ28)</f>
        <v>1348.225</v>
      </c>
      <c r="BB28" s="125">
        <f>BB383</f>
        <v>314.094</v>
      </c>
      <c r="BC28" s="125">
        <f>BC383</f>
        <v>339.779</v>
      </c>
      <c r="BD28" s="125">
        <f>BD383</f>
        <v>353.399</v>
      </c>
      <c r="BE28" s="125">
        <f>BE383</f>
        <v>509.051</v>
      </c>
      <c r="BF28" s="124">
        <f>SUM(BB28:BE28)</f>
        <v>1516.323</v>
      </c>
      <c r="BG28" s="125">
        <f>BG383</f>
        <v>358.704</v>
      </c>
      <c r="BH28" s="125">
        <f>BH383</f>
        <v>381.389</v>
      </c>
      <c r="BI28" s="125">
        <f>BI383</f>
        <v>393.506</v>
      </c>
      <c r="BJ28" s="125">
        <f>BJ383</f>
        <v>570.758</v>
      </c>
      <c r="BK28" s="124">
        <f>SUM(BG28:BJ28)</f>
        <v>1704.357</v>
      </c>
      <c r="BL28" s="125">
        <f>BL383</f>
        <v>379.099</v>
      </c>
      <c r="BM28" s="125">
        <f>BM383</f>
        <v>413.944</v>
      </c>
      <c r="BN28" s="125">
        <f>BN383</f>
        <v>425.1</v>
      </c>
      <c r="BO28" s="125">
        <f>BO383</f>
        <v>618.9</v>
      </c>
      <c r="BP28" s="124">
        <f>SUM(BL28:BO28)</f>
        <v>1837.043</v>
      </c>
      <c r="BQ28" s="125">
        <f>BQ383</f>
        <v>433.12</v>
      </c>
      <c r="BR28" s="125">
        <f>BR383</f>
        <v>486.4</v>
      </c>
      <c r="BS28" s="125">
        <f>BS383</f>
        <v>476.877</v>
      </c>
      <c r="BT28" s="125">
        <f>BT383</f>
        <v>729.966</v>
      </c>
      <c r="BU28" s="124">
        <f>SUM(BQ28:BT28)</f>
        <v>2126.363</v>
      </c>
      <c r="BV28" s="125">
        <f>BV383</f>
        <v>506.422</v>
      </c>
      <c r="BW28" s="125">
        <f>BW383</f>
        <v>583.756</v>
      </c>
      <c r="BX28" s="125">
        <f>BX383</f>
        <v>579.5</v>
      </c>
      <c r="BY28" s="125">
        <f>BY383</f>
        <v>831.4</v>
      </c>
      <c r="BZ28" s="124">
        <f>SUM(BV28:BY28)</f>
        <v>2501.078</v>
      </c>
      <c r="CA28" s="125">
        <f>CA383</f>
        <v>259.97</v>
      </c>
      <c r="CB28" s="125">
        <f>CB383</f>
        <v>287.2</v>
      </c>
      <c r="CC28" s="125">
        <f>CC383</f>
        <v>511.756</v>
      </c>
      <c r="CD28" s="125">
        <f>CD383</f>
        <v>599.881</v>
      </c>
      <c r="CE28" s="124">
        <f>SUM(CA28:CD28)</f>
        <v>1658.807</v>
      </c>
      <c r="CF28" s="125">
        <f>CF383</f>
        <v>536.584</v>
      </c>
      <c r="CG28" s="125">
        <f>CG383</f>
        <v>695.12</v>
      </c>
      <c r="CH28" s="125">
        <f>CH383</f>
        <v>707.16</v>
      </c>
      <c r="CI28" s="125">
        <f>CI383</f>
        <v>882.633</v>
      </c>
      <c r="CJ28" s="124">
        <f>SUM(CF28:CI28)</f>
        <v>2821.497</v>
      </c>
      <c r="CK28" s="125">
        <f>CK383</f>
        <v>731.604</v>
      </c>
      <c r="CL28" s="125">
        <f>CL383</f>
        <v>903.077</v>
      </c>
      <c r="CM28" s="125">
        <f>CM383</f>
        <v>903.06</v>
      </c>
      <c r="CN28" s="125">
        <f>CN383</f>
        <v>1110.386</v>
      </c>
      <c r="CO28" s="124">
        <f>SUM(CK28:CN28)</f>
        <v>3648.127</v>
      </c>
      <c r="CP28" s="125">
        <f>CP383</f>
        <v>958.087</v>
      </c>
      <c r="CQ28" s="126">
        <f>CQ383</f>
        <v>1096.939</v>
      </c>
      <c r="CR28" s="126">
        <f>CR383</f>
        <v>1073.973</v>
      </c>
      <c r="CS28" s="126">
        <f>CS383</f>
        <v>1281.957</v>
      </c>
      <c r="CT28" s="127">
        <f>SUM(CP28:CS28)</f>
        <v>4410.956</v>
      </c>
      <c r="CU28" s="128">
        <v>1070.525</v>
      </c>
      <c r="CV28" s="128">
        <v>1215.613</v>
      </c>
      <c r="CW28" s="128">
        <v>1210.523</v>
      </c>
      <c r="CX28" s="128">
        <v>1511.211</v>
      </c>
      <c r="CY28" s="129">
        <f>SUM(CU28:CX28)</f>
        <v>5007.872</v>
      </c>
      <c r="CZ28" s="128">
        <v>1153.107</v>
      </c>
      <c r="DA28" s="128">
        <v>1254.952</v>
      </c>
      <c r="DB28" s="171">
        <v>1206.558</v>
      </c>
      <c r="DC28" s="171">
        <f>DD28-CZ28-DA28-DB28</f>
        <v>1435.127</v>
      </c>
      <c r="DD28" s="129">
        <v>5049.744</v>
      </c>
      <c r="DE28" s="171">
        <v>1192.84</v>
      </c>
      <c r="DF28" s="171">
        <v>1173.747</v>
      </c>
      <c r="DG28" s="172"/>
      <c r="DH28" s="172"/>
      <c r="DI28" s="173"/>
      <c r="DJ28" s="172"/>
      <c r="DK28" s="172"/>
      <c r="DL28" s="172"/>
      <c r="DM28" s="172"/>
      <c r="DN28" s="173"/>
      <c r="DO28" s="172"/>
      <c r="DP28" s="172"/>
      <c r="DQ28" s="172"/>
      <c r="DR28" s="172"/>
      <c r="DS28" s="173"/>
    </row>
    <row r="29" s="87" customFormat="1" spans="2:123">
      <c r="B29" s="174" t="s">
        <v>69</v>
      </c>
      <c r="C29" s="140"/>
      <c r="D29" s="141"/>
      <c r="E29" s="141"/>
      <c r="F29" s="141"/>
      <c r="G29" s="141"/>
      <c r="H29" s="140">
        <f>H28/C28-1</f>
        <v>1.1927706814686</v>
      </c>
      <c r="I29" s="141">
        <f t="shared" ref="I29:L29" si="58">I28/D28-1</f>
        <v>1.00380021715527</v>
      </c>
      <c r="J29" s="141">
        <f t="shared" si="58"/>
        <v>0.994128576737272</v>
      </c>
      <c r="K29" s="141">
        <f t="shared" si="58"/>
        <v>0.865877080665814</v>
      </c>
      <c r="L29" s="141">
        <f t="shared" si="58"/>
        <v>0.67434184675835</v>
      </c>
      <c r="M29" s="140">
        <f t="shared" ref="M29" si="59">M28/H28-1</f>
        <v>0.841102825685835</v>
      </c>
      <c r="N29" s="141">
        <f t="shared" ref="N29" si="60">N28/I28-1</f>
        <v>0.71624672627111</v>
      </c>
      <c r="O29" s="141">
        <f t="shared" ref="O29" si="61">O28/J28-1</f>
        <v>0.979054079236704</v>
      </c>
      <c r="P29" s="141">
        <f t="shared" ref="P29" si="62">P28/K28-1</f>
        <v>1.05524103619832</v>
      </c>
      <c r="Q29" s="141">
        <f t="shared" ref="Q29" si="63">Q28/L28-1</f>
        <v>1.17075002346757</v>
      </c>
      <c r="R29" s="140">
        <f t="shared" ref="R29" si="64">R28/M28-1</f>
        <v>1.01689664883131</v>
      </c>
      <c r="S29" s="141">
        <f t="shared" ref="S29" si="65">S28/N28-1</f>
        <v>0.857503683435066</v>
      </c>
      <c r="T29" s="141">
        <f t="shared" ref="T29" si="66">T28/O28-1</f>
        <v>0.474576271186441</v>
      </c>
      <c r="U29" s="141">
        <f t="shared" ref="U29" si="67">U28/P28-1</f>
        <v>0.295492487479132</v>
      </c>
      <c r="V29" s="141">
        <f t="shared" ref="V29" si="68">V28/Q28-1</f>
        <v>-0.0373210486486485</v>
      </c>
      <c r="W29" s="140">
        <f t="shared" ref="W29" si="69">W28/R28-1</f>
        <v>0.295841627379799</v>
      </c>
      <c r="X29" s="141">
        <f t="shared" ref="X29" si="70">X28/S28-1</f>
        <v>0.0202691218130313</v>
      </c>
      <c r="Y29" s="141">
        <f t="shared" ref="Y29" si="71">Y28/T28-1</f>
        <v>0.0868454661558109</v>
      </c>
      <c r="Z29" s="141">
        <f t="shared" ref="Z29" si="72">Z28/U28-1</f>
        <v>0.264175257731959</v>
      </c>
      <c r="AA29" s="141">
        <f t="shared" ref="AA29" si="73">AA28/V28-1</f>
        <v>0.553098395925613</v>
      </c>
      <c r="AB29" s="140">
        <f t="shared" ref="AB29" si="74">AB28/W28-1</f>
        <v>0.247135921272759</v>
      </c>
      <c r="AC29" s="141">
        <f t="shared" ref="AC29" si="75">AC28/X28-1</f>
        <v>0.604822923463508</v>
      </c>
      <c r="AD29" s="141">
        <f t="shared" ref="AD29" si="76">AD28/Y28-1</f>
        <v>0.520564042303173</v>
      </c>
      <c r="AE29" s="141">
        <f t="shared" ref="AE29" si="77">AE28/Z28-1</f>
        <v>0.45973496432212</v>
      </c>
      <c r="AF29" s="141">
        <f t="shared" ref="AF29" si="78">AF28/AA28-1</f>
        <v>0.466377440347072</v>
      </c>
      <c r="AG29" s="140">
        <f t="shared" ref="AG29" si="79">AG28/AB28-1</f>
        <v>0.501780037659041</v>
      </c>
      <c r="AH29" s="141">
        <f t="shared" ref="AH29" si="80">AH28/AC28-1</f>
        <v>0.353841362665121</v>
      </c>
      <c r="AI29" s="141">
        <f t="shared" ref="AI29" si="81">AI28/AD28-1</f>
        <v>0.377302936630603</v>
      </c>
      <c r="AJ29" s="141">
        <f t="shared" ref="AJ29" si="82">AJ28/AE28-1</f>
        <v>0.326927374301676</v>
      </c>
      <c r="AK29" s="141">
        <f t="shared" ref="AK29" si="83">AK28/AF28-1</f>
        <v>0.442161143984221</v>
      </c>
      <c r="AL29" s="140">
        <f t="shared" ref="AL29" si="84">AL28/AG28-1</f>
        <v>0.382763838056708</v>
      </c>
      <c r="AM29" s="141">
        <f t="shared" ref="AM29" si="85">AM28/AH28-1</f>
        <v>0.46191054313099</v>
      </c>
      <c r="AN29" s="141">
        <f t="shared" ref="AN29" si="86">AN28/AI28-1</f>
        <v>0.297890844616015</v>
      </c>
      <c r="AO29" s="141">
        <f t="shared" ref="AO29" si="87">AO28/AJ28-1</f>
        <v>0.326446194004715</v>
      </c>
      <c r="AP29" s="141">
        <f t="shared" ref="AP29" si="88">AP28/AK28-1</f>
        <v>0.292548425775091</v>
      </c>
      <c r="AQ29" s="140">
        <f t="shared" ref="AQ29" si="89">AQ28/AL28-1</f>
        <v>0.334029148567672</v>
      </c>
      <c r="AR29" s="141">
        <f t="shared" ref="AR29" si="90">AR28/AM28-1</f>
        <v>0.177316217125824</v>
      </c>
      <c r="AS29" s="141">
        <f t="shared" ref="AS29" si="91">AS28/AN28-1</f>
        <v>0.183534070570739</v>
      </c>
      <c r="AT29" s="141">
        <f t="shared" ref="AT29" si="92">AT28/AO28-1</f>
        <v>0.153225998428858</v>
      </c>
      <c r="AU29" s="141">
        <f t="shared" ref="AU29" si="93">AU28/AP28-1</f>
        <v>0.0454353070639522</v>
      </c>
      <c r="AV29" s="140">
        <f t="shared" ref="AV29" si="94">AV28/AQ28-1</f>
        <v>0.12733481871359</v>
      </c>
      <c r="AW29" s="141">
        <f t="shared" ref="AW29" si="95">AW28/AR28-1</f>
        <v>0.0695879446236778</v>
      </c>
      <c r="AX29" s="141">
        <f t="shared" ref="AX29" si="96">AX28/AS28-1</f>
        <v>0.0740480991204233</v>
      </c>
      <c r="AY29" s="141">
        <f t="shared" ref="AY29" si="97">AY28/AT28-1</f>
        <v>0.0665643728540661</v>
      </c>
      <c r="AZ29" s="141">
        <f t="shared" ref="AZ29" si="98">AZ28/AU28-1</f>
        <v>0.153999919029979</v>
      </c>
      <c r="BA29" s="140">
        <f t="shared" ref="BA29" si="99">BA28/AV28-1</f>
        <v>0.0970106566400786</v>
      </c>
      <c r="BB29" s="141">
        <f t="shared" ref="BB29" si="100">BB28/AW28-1</f>
        <v>0.0902218319269978</v>
      </c>
      <c r="BC29" s="141">
        <f t="shared" ref="BC29" si="101">BC28/AX28-1</f>
        <v>0.155553666167868</v>
      </c>
      <c r="BD29" s="141">
        <f t="shared" ref="BD29" si="102">BD28/AY28-1</f>
        <v>0.139945292793229</v>
      </c>
      <c r="BE29" s="141">
        <f t="shared" ref="BE29" si="103">BE28/AZ28-1</f>
        <v>0.116168570614161</v>
      </c>
      <c r="BF29" s="140">
        <f t="shared" ref="BF29" si="104">BF28/BA28-1</f>
        <v>0.12468096942276</v>
      </c>
      <c r="BG29" s="141">
        <f t="shared" ref="BG29" si="105">BG28/BB28-1</f>
        <v>0.142027545893904</v>
      </c>
      <c r="BH29" s="141">
        <f t="shared" ref="BH29" si="106">BH28/BC28-1</f>
        <v>0.122461953210764</v>
      </c>
      <c r="BI29" s="141">
        <f t="shared" ref="BI29" si="107">BI28/BD28-1</f>
        <v>0.113489285481849</v>
      </c>
      <c r="BJ29" s="141">
        <f t="shared" ref="BJ29" si="108">BJ28/BE28-1</f>
        <v>0.121219681328589</v>
      </c>
      <c r="BK29" s="140">
        <f t="shared" ref="BK29" si="109">BK28/BF28-1</f>
        <v>0.124006560607469</v>
      </c>
      <c r="BL29" s="141">
        <f t="shared" ref="BL29" si="110">BL28/BG28-1</f>
        <v>0.0568574646505196</v>
      </c>
      <c r="BM29" s="141">
        <f t="shared" ref="BM29" si="111">BM28/BH28-1</f>
        <v>0.0853590428669941</v>
      </c>
      <c r="BN29" s="141">
        <f t="shared" ref="BN29" si="112">BN28/BI28-1</f>
        <v>0.0802884835301114</v>
      </c>
      <c r="BO29" s="141">
        <f t="shared" ref="BO29" si="113">BO28/BJ28-1</f>
        <v>0.0843474817698573</v>
      </c>
      <c r="BP29" s="140">
        <f t="shared" ref="BP29" si="114">BP28/BK28-1</f>
        <v>0.0778510605465874</v>
      </c>
      <c r="BQ29" s="141">
        <f t="shared" ref="BQ29" si="115">BQ28/BL28-1</f>
        <v>0.142498397516216</v>
      </c>
      <c r="BR29" s="141">
        <f t="shared" ref="BR29" si="116">BR28/BM28-1</f>
        <v>0.17503816941422</v>
      </c>
      <c r="BS29" s="141">
        <f t="shared" ref="BS29" si="117">BS28/BN28-1</f>
        <v>0.121799576570219</v>
      </c>
      <c r="BT29" s="141">
        <f t="shared" ref="BT29" si="118">BT28/BO28-1</f>
        <v>0.179457101308774</v>
      </c>
      <c r="BU29" s="140">
        <f t="shared" ref="BU29" si="119">BU28/BP28-1</f>
        <v>0.157492230720783</v>
      </c>
      <c r="BV29" s="141">
        <f t="shared" ref="BV29" si="120">BV28/BQ28-1</f>
        <v>0.169241780568895</v>
      </c>
      <c r="BW29" s="141">
        <f t="shared" ref="BW29" si="121">BW28/BR28-1</f>
        <v>0.20015625</v>
      </c>
      <c r="BX29" s="141">
        <f t="shared" ref="BX29" si="122">BX28/BS28-1</f>
        <v>0.215198048972796</v>
      </c>
      <c r="BY29" s="141">
        <f t="shared" ref="BY29" si="123">BY28/BT28-1</f>
        <v>0.138957156908678</v>
      </c>
      <c r="BZ29" s="140">
        <f t="shared" ref="BZ29" si="124">BZ28/BU28-1</f>
        <v>0.176223438801371</v>
      </c>
      <c r="CA29" s="141">
        <f t="shared" ref="CA29" si="125">CA28/BV28-1</f>
        <v>-0.486653423429472</v>
      </c>
      <c r="CB29" s="141">
        <f t="shared" ref="CB29" si="126">CB28/BW28-1</f>
        <v>-0.508013622129794</v>
      </c>
      <c r="CC29" s="141">
        <f t="shared" ref="CC29" si="127">CC28/BX28-1</f>
        <v>-0.116900776531493</v>
      </c>
      <c r="CD29" s="141">
        <f t="shared" ref="CD29" si="128">CD28/BY28-1</f>
        <v>-0.278468847726726</v>
      </c>
      <c r="CE29" s="140">
        <f t="shared" ref="CE29" si="129">CE28/BZ28-1</f>
        <v>-0.336763187713458</v>
      </c>
      <c r="CF29" s="141">
        <f t="shared" ref="CF29" si="130">CF28/CA28-1</f>
        <v>1.06402277185829</v>
      </c>
      <c r="CG29" s="141">
        <f t="shared" ref="CG29" si="131">CG28/CB28-1</f>
        <v>1.42033426183844</v>
      </c>
      <c r="CH29" s="141">
        <f t="shared" ref="CH29" si="132">CH28/CC28-1</f>
        <v>0.381830403551693</v>
      </c>
      <c r="CI29" s="141">
        <f t="shared" ref="CI29" si="133">CI28/CD28-1</f>
        <v>0.471346817118729</v>
      </c>
      <c r="CJ29" s="140">
        <f t="shared" ref="CJ29" si="134">CJ28/CE28-1</f>
        <v>0.700919395686177</v>
      </c>
      <c r="CK29" s="141">
        <f t="shared" ref="CK29" si="135">CK28/CF28-1</f>
        <v>0.363447288774917</v>
      </c>
      <c r="CL29" s="141">
        <f t="shared" ref="CL29" si="136">CL28/CG28-1</f>
        <v>0.299167050293474</v>
      </c>
      <c r="CM29" s="141">
        <f t="shared" ref="CM29" si="137">CM28/CH28-1</f>
        <v>0.277023587306974</v>
      </c>
      <c r="CN29" s="141">
        <f t="shared" ref="CN29" si="138">CN28/CI28-1</f>
        <v>0.258038165352983</v>
      </c>
      <c r="CO29" s="140">
        <f t="shared" ref="CO29" si="139">CO28/CJ28-1</f>
        <v>0.292975679222767</v>
      </c>
      <c r="CP29" s="141">
        <f t="shared" ref="CP29" si="140">CP28/CK28-1</f>
        <v>0.309570478018163</v>
      </c>
      <c r="CQ29" s="141">
        <f t="shared" ref="CQ29" si="141">CQ28/CL28-1</f>
        <v>0.214668295173059</v>
      </c>
      <c r="CR29" s="141">
        <f t="shared" ref="CR29" si="142">CR28/CM28-1</f>
        <v>0.189259849843864</v>
      </c>
      <c r="CS29" s="141">
        <f t="shared" ref="CS29" si="143">CS28/CN28-1</f>
        <v>0.15451473631692</v>
      </c>
      <c r="CT29" s="140">
        <f t="shared" ref="CT29" si="144">CT28/CO28-1</f>
        <v>0.209101547177497</v>
      </c>
      <c r="CU29" s="142">
        <f t="shared" ref="CU29" si="145">CU28/CP28-1</f>
        <v>0.117356774489164</v>
      </c>
      <c r="CV29" s="142">
        <f t="shared" ref="CV29" si="146">CV28/CQ28-1</f>
        <v>0.108186508092063</v>
      </c>
      <c r="CW29" s="142">
        <f t="shared" ref="CW29" si="147">CW28/CR28-1</f>
        <v>0.12714472337759</v>
      </c>
      <c r="CX29" s="142">
        <f t="shared" ref="CX29" si="148">CX28/CS28-1</f>
        <v>0.178831271251688</v>
      </c>
      <c r="CY29" s="143">
        <f t="shared" ref="CY29" si="149">CY28/CT28-1</f>
        <v>0.135325766115101</v>
      </c>
      <c r="CZ29" s="142">
        <f t="shared" ref="CZ29" si="150">CZ28/CU28-1</f>
        <v>0.0771415894070666</v>
      </c>
      <c r="DA29" s="142">
        <f t="shared" ref="DA29:DF29" si="151">DA28/CV28-1</f>
        <v>0.0323614505603345</v>
      </c>
      <c r="DB29" s="142">
        <f t="shared" si="151"/>
        <v>-0.0032754437544763</v>
      </c>
      <c r="DC29" s="142">
        <f t="shared" si="151"/>
        <v>-0.0503463778387009</v>
      </c>
      <c r="DD29" s="143">
        <f t="shared" si="151"/>
        <v>0.00836123606993144</v>
      </c>
      <c r="DE29" s="142">
        <f t="shared" si="151"/>
        <v>0.0344573400386954</v>
      </c>
      <c r="DF29" s="142">
        <f t="shared" si="151"/>
        <v>-0.0647076541572904</v>
      </c>
      <c r="DG29" s="142"/>
      <c r="DH29" s="142"/>
      <c r="DI29" s="143"/>
      <c r="DJ29" s="142"/>
      <c r="DK29" s="142"/>
      <c r="DL29" s="142"/>
      <c r="DM29" s="142"/>
      <c r="DN29" s="143"/>
      <c r="DO29" s="142"/>
      <c r="DP29" s="142"/>
      <c r="DQ29" s="142"/>
      <c r="DR29" s="142"/>
      <c r="DS29" s="143"/>
    </row>
    <row r="30" spans="2:123">
      <c r="B30" s="123" t="s">
        <v>54</v>
      </c>
      <c r="C30" s="124">
        <f>C461</f>
        <v>0</v>
      </c>
      <c r="D30" s="125">
        <f>D461</f>
        <v>0</v>
      </c>
      <c r="E30" s="125">
        <f>E461</f>
        <v>0</v>
      </c>
      <c r="F30" s="125">
        <f>F461</f>
        <v>0</v>
      </c>
      <c r="G30" s="125">
        <f>G461</f>
        <v>0</v>
      </c>
      <c r="H30" s="124">
        <f>SUM(D30:G30)</f>
        <v>0</v>
      </c>
      <c r="I30" s="125">
        <f>I461</f>
        <v>0</v>
      </c>
      <c r="J30" s="125">
        <f>J461</f>
        <v>0</v>
      </c>
      <c r="K30" s="125">
        <f>K461</f>
        <v>0</v>
      </c>
      <c r="L30" s="125">
        <f>L461</f>
        <v>0</v>
      </c>
      <c r="M30" s="124">
        <f>SUM(I30:L30)</f>
        <v>0</v>
      </c>
      <c r="N30" s="125">
        <f>N461</f>
        <v>0</v>
      </c>
      <c r="O30" s="125">
        <f>O461</f>
        <v>0</v>
      </c>
      <c r="P30" s="125">
        <f>P461</f>
        <v>0</v>
      </c>
      <c r="Q30" s="125">
        <f>Q461</f>
        <v>0</v>
      </c>
      <c r="R30" s="124">
        <f>SUM(N30:Q30)</f>
        <v>0</v>
      </c>
      <c r="S30" s="125">
        <f>S461</f>
        <v>0</v>
      </c>
      <c r="T30" s="125">
        <f>T461</f>
        <v>0</v>
      </c>
      <c r="U30" s="125">
        <f>U461</f>
        <v>0</v>
      </c>
      <c r="V30" s="125">
        <f>V461</f>
        <v>0</v>
      </c>
      <c r="W30" s="124">
        <f>SUM(S30:V30)</f>
        <v>0</v>
      </c>
      <c r="X30" s="125">
        <f>X461</f>
        <v>0.869</v>
      </c>
      <c r="Y30" s="125">
        <f>Y461</f>
        <v>2.8</v>
      </c>
      <c r="Z30" s="125">
        <f>Z461</f>
        <v>4.2</v>
      </c>
      <c r="AA30" s="125">
        <f>AA461</f>
        <v>8.4</v>
      </c>
      <c r="AB30" s="124">
        <f>SUM(X30:AA30)</f>
        <v>16.269</v>
      </c>
      <c r="AC30" s="125">
        <f>AC461</f>
        <v>9.1278</v>
      </c>
      <c r="AD30" s="125">
        <f>AD461</f>
        <v>9.6</v>
      </c>
      <c r="AE30" s="125">
        <f>AE461</f>
        <v>13.4</v>
      </c>
      <c r="AF30" s="125">
        <f>AF461</f>
        <v>24.6</v>
      </c>
      <c r="AG30" s="124">
        <f>SUM(AC30:AF30)</f>
        <v>56.7278</v>
      </c>
      <c r="AH30" s="125">
        <f>AH461</f>
        <v>13.82172</v>
      </c>
      <c r="AI30" s="125">
        <f>AI461</f>
        <v>18.6</v>
      </c>
      <c r="AJ30" s="125">
        <f>AJ461</f>
        <v>23.9</v>
      </c>
      <c r="AK30" s="125">
        <f>AK461</f>
        <v>50.1</v>
      </c>
      <c r="AL30" s="124">
        <f>SUM(AH30:AK30)</f>
        <v>106.42172</v>
      </c>
      <c r="AM30" s="125">
        <f>AM461</f>
        <v>38.447</v>
      </c>
      <c r="AN30" s="125">
        <f>AN461</f>
        <v>35.422</v>
      </c>
      <c r="AO30" s="125">
        <f>AO461</f>
        <v>45.122</v>
      </c>
      <c r="AP30" s="125">
        <f>AP461</f>
        <v>78.3</v>
      </c>
      <c r="AQ30" s="124">
        <f>SUM(AM30:AP30)</f>
        <v>197.291</v>
      </c>
      <c r="AR30" s="125">
        <f>AR461</f>
        <v>53.967</v>
      </c>
      <c r="AS30" s="125">
        <f>AS461</f>
        <v>49.384</v>
      </c>
      <c r="AT30" s="125">
        <f>AT461</f>
        <v>61.954</v>
      </c>
      <c r="AU30" s="125">
        <f>AU461</f>
        <v>97.778</v>
      </c>
      <c r="AV30" s="124">
        <f>SUM(AR30:AU30)</f>
        <v>263.083</v>
      </c>
      <c r="AW30" s="125">
        <f>AW461</f>
        <v>65.974</v>
      </c>
      <c r="AX30" s="125">
        <f>AX461</f>
        <v>63.5</v>
      </c>
      <c r="AY30" s="125">
        <f>AY461</f>
        <v>77.203</v>
      </c>
      <c r="AZ30" s="125">
        <f>AZ461</f>
        <v>114.5</v>
      </c>
      <c r="BA30" s="124">
        <f>SUM(AW30:AZ30)</f>
        <v>321.177</v>
      </c>
      <c r="BB30" s="125">
        <f>BB461</f>
        <v>83.636</v>
      </c>
      <c r="BC30" s="125">
        <f>BC461</f>
        <v>82.239</v>
      </c>
      <c r="BD30" s="125">
        <f>BD461</f>
        <v>89.33</v>
      </c>
      <c r="BE30" s="125">
        <f>BE461</f>
        <v>146.32</v>
      </c>
      <c r="BF30" s="124">
        <f>SUM(BB30:BE30)</f>
        <v>401.525</v>
      </c>
      <c r="BG30" s="125">
        <f>BG461</f>
        <v>97.566</v>
      </c>
      <c r="BH30" s="125">
        <f>BH461</f>
        <v>87.399</v>
      </c>
      <c r="BI30" s="125">
        <f>BI461</f>
        <v>104.013</v>
      </c>
      <c r="BJ30" s="125">
        <f>BJ461</f>
        <v>164.309</v>
      </c>
      <c r="BK30" s="124">
        <f>SUM(BG30:BJ30)</f>
        <v>453.287</v>
      </c>
      <c r="BL30" s="125">
        <f>BL461</f>
        <v>97.223</v>
      </c>
      <c r="BM30" s="125">
        <f>BM461</f>
        <v>113.049</v>
      </c>
      <c r="BN30" s="125">
        <f>BN461</f>
        <v>131.181</v>
      </c>
      <c r="BO30" s="125">
        <f>BO461</f>
        <v>236.14</v>
      </c>
      <c r="BP30" s="124">
        <f>SUM(BL30:BO30)</f>
        <v>577.593</v>
      </c>
      <c r="BQ30" s="125">
        <f>BQ461</f>
        <v>157.82</v>
      </c>
      <c r="BR30" s="125">
        <f>BR461</f>
        <v>167.4</v>
      </c>
      <c r="BS30" s="125">
        <f>BS461</f>
        <v>189.375</v>
      </c>
      <c r="BT30" s="125">
        <f>BT461</f>
        <v>344.261</v>
      </c>
      <c r="BU30" s="124">
        <f>SUM(BQ30:BT30)</f>
        <v>858.856</v>
      </c>
      <c r="BV30" s="125">
        <f>BV461</f>
        <v>209.844</v>
      </c>
      <c r="BW30" s="125">
        <f>BW461</f>
        <v>217.636</v>
      </c>
      <c r="BX30" s="125">
        <f>BX461</f>
        <v>246.7</v>
      </c>
      <c r="BY30" s="125">
        <f>BY461</f>
        <v>463.6</v>
      </c>
      <c r="BZ30" s="124">
        <f>SUM(BV30:BY30)</f>
        <v>1137.78</v>
      </c>
      <c r="CA30" s="125">
        <f>CA461</f>
        <v>352.039</v>
      </c>
      <c r="CB30" s="125">
        <f>CB461</f>
        <v>554.3</v>
      </c>
      <c r="CC30" s="125">
        <f>CC461</f>
        <v>478.263</v>
      </c>
      <c r="CD30" s="125">
        <f>CD461</f>
        <v>899.466</v>
      </c>
      <c r="CE30" s="124">
        <f>SUM(CA30:CD30)</f>
        <v>2284.068</v>
      </c>
      <c r="CF30" s="125">
        <f>CF461</f>
        <v>545.1</v>
      </c>
      <c r="CG30" s="125">
        <f>CG461</f>
        <v>597.426</v>
      </c>
      <c r="CH30" s="125">
        <f>CH461</f>
        <v>586.525</v>
      </c>
      <c r="CI30" s="125">
        <f>CI461</f>
        <v>1048.893</v>
      </c>
      <c r="CJ30" s="124">
        <f>SUM(CF30:CI30)</f>
        <v>2777.944</v>
      </c>
      <c r="CK30" s="125">
        <f>CK461</f>
        <v>721.253</v>
      </c>
      <c r="CL30" s="125">
        <f>CL461</f>
        <v>775.425</v>
      </c>
      <c r="CM30" s="125">
        <f>CM461</f>
        <v>767.351</v>
      </c>
      <c r="CN30" s="125">
        <f>CN461</f>
        <v>1435.762</v>
      </c>
      <c r="CO30" s="124">
        <f>SUM(CK30:CN30)</f>
        <v>3699.791</v>
      </c>
      <c r="CP30" s="125">
        <f>CP461</f>
        <v>834.942</v>
      </c>
      <c r="CQ30" s="126">
        <f>CQ461</f>
        <v>893.673</v>
      </c>
      <c r="CR30" s="126">
        <f>CR461</f>
        <v>908.127</v>
      </c>
      <c r="CS30" s="126">
        <f>CS461</f>
        <v>1674.368</v>
      </c>
      <c r="CT30" s="127">
        <f>SUM(CP30:CS30)</f>
        <v>4311.11</v>
      </c>
      <c r="CU30" s="128">
        <v>905.787</v>
      </c>
      <c r="CV30" s="128">
        <v>910.637</v>
      </c>
      <c r="CW30" s="128">
        <v>944.777</v>
      </c>
      <c r="CX30" s="128">
        <v>1809.245</v>
      </c>
      <c r="CY30" s="129">
        <f>SUM(CU30:CX30)</f>
        <v>4570.446</v>
      </c>
      <c r="CZ30" s="128">
        <v>960.89</v>
      </c>
      <c r="DA30" s="128">
        <v>993.093</v>
      </c>
      <c r="DB30" s="171">
        <v>1066.75</v>
      </c>
      <c r="DC30" s="171">
        <f>DD30-CZ30-DA30-DB30</f>
        <v>1897.964</v>
      </c>
      <c r="DD30" s="129">
        <v>4918.697</v>
      </c>
      <c r="DE30" s="171">
        <v>997.442</v>
      </c>
      <c r="DF30" s="171">
        <v>934.63</v>
      </c>
      <c r="DG30" s="172"/>
      <c r="DH30" s="172"/>
      <c r="DI30" s="173"/>
      <c r="DJ30" s="172"/>
      <c r="DK30" s="172"/>
      <c r="DL30" s="172"/>
      <c r="DM30" s="172"/>
      <c r="DN30" s="173"/>
      <c r="DO30" s="172"/>
      <c r="DP30" s="172"/>
      <c r="DQ30" s="172"/>
      <c r="DR30" s="172"/>
      <c r="DS30" s="173"/>
    </row>
    <row r="31" spans="2:123">
      <c r="B31" s="144" t="s">
        <v>69</v>
      </c>
      <c r="C31" s="124"/>
      <c r="D31" s="125"/>
      <c r="E31" s="125"/>
      <c r="F31" s="125"/>
      <c r="G31" s="125"/>
      <c r="H31" s="140" t="str">
        <f>IFERROR(H30/C30-1,"--")</f>
        <v>--</v>
      </c>
      <c r="I31" s="141" t="str">
        <f t="shared" ref="I31:BT31" si="152">IFERROR(I30/D30-1,"--")</f>
        <v>--</v>
      </c>
      <c r="J31" s="141" t="str">
        <f t="shared" si="152"/>
        <v>--</v>
      </c>
      <c r="K31" s="141" t="str">
        <f t="shared" si="152"/>
        <v>--</v>
      </c>
      <c r="L31" s="141" t="str">
        <f t="shared" si="152"/>
        <v>--</v>
      </c>
      <c r="M31" s="140" t="str">
        <f t="shared" si="152"/>
        <v>--</v>
      </c>
      <c r="N31" s="141" t="str">
        <f t="shared" si="152"/>
        <v>--</v>
      </c>
      <c r="O31" s="141" t="str">
        <f t="shared" si="152"/>
        <v>--</v>
      </c>
      <c r="P31" s="141" t="str">
        <f t="shared" si="152"/>
        <v>--</v>
      </c>
      <c r="Q31" s="141" t="str">
        <f t="shared" si="152"/>
        <v>--</v>
      </c>
      <c r="R31" s="140" t="str">
        <f t="shared" si="152"/>
        <v>--</v>
      </c>
      <c r="S31" s="141" t="str">
        <f t="shared" si="152"/>
        <v>--</v>
      </c>
      <c r="T31" s="141" t="str">
        <f t="shared" si="152"/>
        <v>--</v>
      </c>
      <c r="U31" s="141" t="str">
        <f t="shared" si="152"/>
        <v>--</v>
      </c>
      <c r="V31" s="141" t="str">
        <f t="shared" si="152"/>
        <v>--</v>
      </c>
      <c r="W31" s="140" t="str">
        <f t="shared" si="152"/>
        <v>--</v>
      </c>
      <c r="X31" s="141" t="str">
        <f t="shared" si="152"/>
        <v>--</v>
      </c>
      <c r="Y31" s="141" t="str">
        <f t="shared" si="152"/>
        <v>--</v>
      </c>
      <c r="Z31" s="141" t="str">
        <f t="shared" si="152"/>
        <v>--</v>
      </c>
      <c r="AA31" s="141" t="str">
        <f t="shared" si="152"/>
        <v>--</v>
      </c>
      <c r="AB31" s="140" t="str">
        <f t="shared" si="152"/>
        <v>--</v>
      </c>
      <c r="AC31" s="141">
        <f t="shared" si="152"/>
        <v>9.50379746835443</v>
      </c>
      <c r="AD31" s="141">
        <f t="shared" si="152"/>
        <v>2.42857142857143</v>
      </c>
      <c r="AE31" s="141">
        <f t="shared" si="152"/>
        <v>2.19047619047619</v>
      </c>
      <c r="AF31" s="141">
        <f t="shared" si="152"/>
        <v>1.92857142857143</v>
      </c>
      <c r="AG31" s="140">
        <f t="shared" si="152"/>
        <v>2.48686458909583</v>
      </c>
      <c r="AH31" s="141">
        <f t="shared" si="152"/>
        <v>0.514244396240058</v>
      </c>
      <c r="AI31" s="141">
        <f t="shared" si="152"/>
        <v>0.9375</v>
      </c>
      <c r="AJ31" s="141">
        <f t="shared" si="152"/>
        <v>0.783582089552239</v>
      </c>
      <c r="AK31" s="141">
        <f t="shared" si="152"/>
        <v>1.03658536585366</v>
      </c>
      <c r="AL31" s="140">
        <f t="shared" si="152"/>
        <v>0.876006473016757</v>
      </c>
      <c r="AM31" s="141">
        <f t="shared" si="152"/>
        <v>1.78163643888026</v>
      </c>
      <c r="AN31" s="141">
        <f t="shared" si="152"/>
        <v>0.904408602150537</v>
      </c>
      <c r="AO31" s="141">
        <f t="shared" si="152"/>
        <v>0.887949790794979</v>
      </c>
      <c r="AP31" s="141">
        <f t="shared" si="152"/>
        <v>0.562874251497006</v>
      </c>
      <c r="AQ31" s="140">
        <f t="shared" si="152"/>
        <v>0.853860283408312</v>
      </c>
      <c r="AR31" s="141">
        <f t="shared" si="152"/>
        <v>0.403672588238354</v>
      </c>
      <c r="AS31" s="141">
        <f t="shared" si="152"/>
        <v>0.394161820337643</v>
      </c>
      <c r="AT31" s="141">
        <f t="shared" si="152"/>
        <v>0.373033110234475</v>
      </c>
      <c r="AU31" s="141">
        <f t="shared" si="152"/>
        <v>0.248761174968072</v>
      </c>
      <c r="AV31" s="140">
        <f t="shared" si="152"/>
        <v>0.333476945223046</v>
      </c>
      <c r="AW31" s="141">
        <f t="shared" si="152"/>
        <v>0.222487816628681</v>
      </c>
      <c r="AX31" s="141">
        <f t="shared" si="152"/>
        <v>0.285841568119229</v>
      </c>
      <c r="AY31" s="141">
        <f t="shared" si="152"/>
        <v>0.246134228621235</v>
      </c>
      <c r="AZ31" s="141">
        <f t="shared" si="152"/>
        <v>0.171020065863486</v>
      </c>
      <c r="BA31" s="140">
        <f t="shared" si="152"/>
        <v>0.220820045384917</v>
      </c>
      <c r="BB31" s="141">
        <f t="shared" si="152"/>
        <v>0.267711522721072</v>
      </c>
      <c r="BC31" s="141">
        <f t="shared" si="152"/>
        <v>0.295102362204724</v>
      </c>
      <c r="BD31" s="141">
        <f t="shared" si="152"/>
        <v>0.15707938810668</v>
      </c>
      <c r="BE31" s="141">
        <f t="shared" si="152"/>
        <v>0.277903930131004</v>
      </c>
      <c r="BF31" s="140">
        <f t="shared" si="152"/>
        <v>0.250167353203996</v>
      </c>
      <c r="BG31" s="141">
        <f t="shared" si="152"/>
        <v>0.166555071978574</v>
      </c>
      <c r="BH31" s="141">
        <f t="shared" si="152"/>
        <v>0.0627439535986576</v>
      </c>
      <c r="BI31" s="141">
        <f t="shared" si="152"/>
        <v>0.164368073435576</v>
      </c>
      <c r="BJ31" s="141">
        <f t="shared" si="152"/>
        <v>0.122942864953526</v>
      </c>
      <c r="BK31" s="140">
        <f t="shared" si="152"/>
        <v>0.128913517215616</v>
      </c>
      <c r="BL31" s="141">
        <f t="shared" si="152"/>
        <v>-0.00351556894819915</v>
      </c>
      <c r="BM31" s="141">
        <f t="shared" si="152"/>
        <v>0.293481618782824</v>
      </c>
      <c r="BN31" s="141">
        <f t="shared" si="152"/>
        <v>0.261198119465836</v>
      </c>
      <c r="BO31" s="141">
        <f t="shared" si="152"/>
        <v>0.437170209787656</v>
      </c>
      <c r="BP31" s="140">
        <f t="shared" si="152"/>
        <v>0.274232439933199</v>
      </c>
      <c r="BQ31" s="141">
        <f t="shared" si="152"/>
        <v>0.62327844234389</v>
      </c>
      <c r="BR31" s="141">
        <f t="shared" si="152"/>
        <v>0.480773823740148</v>
      </c>
      <c r="BS31" s="141">
        <f t="shared" si="152"/>
        <v>0.443616072449516</v>
      </c>
      <c r="BT31" s="141">
        <f t="shared" si="152"/>
        <v>0.457868213771491</v>
      </c>
      <c r="BU31" s="140">
        <f t="shared" ref="BU31:DF31" si="153">IFERROR(BU30/BP30-1,"--")</f>
        <v>0.486957078773462</v>
      </c>
      <c r="BV31" s="141">
        <f t="shared" si="153"/>
        <v>0.329641363578761</v>
      </c>
      <c r="BW31" s="141">
        <f t="shared" si="153"/>
        <v>0.300095579450418</v>
      </c>
      <c r="BX31" s="141">
        <f t="shared" si="153"/>
        <v>0.302706270627063</v>
      </c>
      <c r="BY31" s="141">
        <f t="shared" si="153"/>
        <v>0.346652685026768</v>
      </c>
      <c r="BZ31" s="140">
        <f t="shared" si="153"/>
        <v>0.324762241865924</v>
      </c>
      <c r="CA31" s="141">
        <f t="shared" si="153"/>
        <v>0.677622424277082</v>
      </c>
      <c r="CB31" s="141">
        <f t="shared" si="153"/>
        <v>1.54691319450826</v>
      </c>
      <c r="CC31" s="141">
        <f t="shared" si="153"/>
        <v>0.938642075395217</v>
      </c>
      <c r="CD31" s="141">
        <f t="shared" si="153"/>
        <v>0.940176876617774</v>
      </c>
      <c r="CE31" s="140">
        <f t="shared" si="153"/>
        <v>1.00747771977008</v>
      </c>
      <c r="CF31" s="141">
        <f t="shared" si="153"/>
        <v>0.548407988887595</v>
      </c>
      <c r="CG31" s="141">
        <f t="shared" si="153"/>
        <v>0.0778026339527333</v>
      </c>
      <c r="CH31" s="141">
        <f t="shared" si="153"/>
        <v>0.226364991646855</v>
      </c>
      <c r="CI31" s="141">
        <f t="shared" si="153"/>
        <v>0.166128569617973</v>
      </c>
      <c r="CJ31" s="140">
        <f t="shared" si="153"/>
        <v>0.216226487127353</v>
      </c>
      <c r="CK31" s="141">
        <f t="shared" si="153"/>
        <v>0.323157218858925</v>
      </c>
      <c r="CL31" s="141">
        <f t="shared" si="153"/>
        <v>0.297943176226009</v>
      </c>
      <c r="CM31" s="141">
        <f t="shared" si="153"/>
        <v>0.308300583947828</v>
      </c>
      <c r="CN31" s="141">
        <f t="shared" si="153"/>
        <v>0.36883552469127</v>
      </c>
      <c r="CO31" s="140">
        <f t="shared" si="153"/>
        <v>0.331845062391467</v>
      </c>
      <c r="CP31" s="141">
        <f t="shared" si="153"/>
        <v>0.15762707399484</v>
      </c>
      <c r="CQ31" s="141">
        <f t="shared" si="153"/>
        <v>0.152494438533707</v>
      </c>
      <c r="CR31" s="141">
        <f t="shared" si="153"/>
        <v>0.183457114149848</v>
      </c>
      <c r="CS31" s="141">
        <f t="shared" si="153"/>
        <v>0.166187710776577</v>
      </c>
      <c r="CT31" s="140">
        <f t="shared" si="153"/>
        <v>0.165230684652187</v>
      </c>
      <c r="CU31" s="142">
        <f t="shared" si="153"/>
        <v>0.0848502051639515</v>
      </c>
      <c r="CV31" s="142">
        <f t="shared" si="153"/>
        <v>0.0189823347018427</v>
      </c>
      <c r="CW31" s="142">
        <f t="shared" si="153"/>
        <v>0.0403577913661857</v>
      </c>
      <c r="CX31" s="142">
        <f t="shared" si="153"/>
        <v>0.0805539761868361</v>
      </c>
      <c r="CY31" s="143">
        <f t="shared" si="153"/>
        <v>0.0601552732358952</v>
      </c>
      <c r="CZ31" s="142">
        <f t="shared" si="153"/>
        <v>0.0608343904251221</v>
      </c>
      <c r="DA31" s="142">
        <f t="shared" si="153"/>
        <v>0.090547605687008</v>
      </c>
      <c r="DB31" s="142">
        <f t="shared" si="153"/>
        <v>0.129102423111485</v>
      </c>
      <c r="DC31" s="142">
        <f t="shared" si="153"/>
        <v>0.04903647654132</v>
      </c>
      <c r="DD31" s="143">
        <f t="shared" si="153"/>
        <v>0.0761962836887253</v>
      </c>
      <c r="DE31" s="142">
        <f t="shared" si="153"/>
        <v>0.0380397339966074</v>
      </c>
      <c r="DF31" s="142">
        <f t="shared" si="153"/>
        <v>-0.0588696124129361</v>
      </c>
      <c r="DG31" s="172"/>
      <c r="DH31" s="172"/>
      <c r="DI31" s="170"/>
      <c r="DJ31" s="172"/>
      <c r="DK31" s="172"/>
      <c r="DL31" s="172"/>
      <c r="DM31" s="172"/>
      <c r="DN31" s="173"/>
      <c r="DO31" s="172"/>
      <c r="DP31" s="172"/>
      <c r="DQ31" s="172"/>
      <c r="DR31" s="172"/>
      <c r="DS31" s="173"/>
    </row>
    <row r="32" spans="2:123">
      <c r="B32" s="123" t="s">
        <v>55</v>
      </c>
      <c r="C32" s="124">
        <f>C476</f>
        <v>10.843</v>
      </c>
      <c r="D32" s="125">
        <f>D476</f>
        <v>4.578</v>
      </c>
      <c r="E32" s="125">
        <f>E476</f>
        <v>3.671</v>
      </c>
      <c r="F32" s="125">
        <f>F476</f>
        <v>4.364</v>
      </c>
      <c r="G32" s="125">
        <f>G476</f>
        <v>5.93909300000001</v>
      </c>
      <c r="H32" s="124">
        <f>SUM(D32:G32)</f>
        <v>18.552093</v>
      </c>
      <c r="I32" s="125">
        <f>I476</f>
        <v>6.038</v>
      </c>
      <c r="J32" s="125">
        <f>J476</f>
        <v>5.686437</v>
      </c>
      <c r="K32" s="125">
        <f>K476</f>
        <v>6.822615</v>
      </c>
      <c r="L32" s="125">
        <f>L476</f>
        <v>9.60378200000001</v>
      </c>
      <c r="M32" s="124">
        <f>SUM(I32:L32)</f>
        <v>28.150834</v>
      </c>
      <c r="N32" s="125">
        <f>N476</f>
        <v>6.781456</v>
      </c>
      <c r="O32" s="125">
        <f>O476</f>
        <v>5.580944</v>
      </c>
      <c r="P32" s="125">
        <f>P476</f>
        <v>6.25028</v>
      </c>
      <c r="Q32" s="125">
        <f>Q476</f>
        <v>12.592648</v>
      </c>
      <c r="R32" s="124">
        <f>SUM(N32:Q32)</f>
        <v>31.205328</v>
      </c>
      <c r="S32" s="125">
        <f>S476</f>
        <v>7.567494</v>
      </c>
      <c r="T32" s="125">
        <f>T476</f>
        <v>7.184223</v>
      </c>
      <c r="U32" s="125">
        <f>U476</f>
        <v>9.447135</v>
      </c>
      <c r="V32" s="125">
        <f>V476</f>
        <v>14.873197</v>
      </c>
      <c r="W32" s="124">
        <f>SUM(S32:V32)</f>
        <v>39.072049</v>
      </c>
      <c r="X32" s="125">
        <f>X476</f>
        <v>8.78</v>
      </c>
      <c r="Y32" s="125">
        <f>Y476</f>
        <v>9.82100000000001</v>
      </c>
      <c r="Z32" s="125">
        <f>Z476</f>
        <v>10.591</v>
      </c>
      <c r="AA32" s="125">
        <f>AA476</f>
        <v>13.906</v>
      </c>
      <c r="AB32" s="124">
        <f>SUM(X32:AA32)</f>
        <v>43.098</v>
      </c>
      <c r="AC32" s="125">
        <f>AC476</f>
        <v>13.5722</v>
      </c>
      <c r="AD32" s="125">
        <f>AD476</f>
        <v>13.208</v>
      </c>
      <c r="AE32" s="125">
        <f>AE476</f>
        <v>19.2</v>
      </c>
      <c r="AF32" s="125">
        <f>AF476</f>
        <v>17.999</v>
      </c>
      <c r="AG32" s="124">
        <f>SUM(AC32:AF32)</f>
        <v>63.9792</v>
      </c>
      <c r="AH32" s="125">
        <f>AH476</f>
        <v>16.45828</v>
      </c>
      <c r="AI32" s="125">
        <f>AI476</f>
        <v>15.5</v>
      </c>
      <c r="AJ32" s="125">
        <f>AJ476</f>
        <v>16.3</v>
      </c>
      <c r="AK32" s="125">
        <f>AK476</f>
        <v>28.94972</v>
      </c>
      <c r="AL32" s="124">
        <f>SUM(AH32:AK32)</f>
        <v>77.208</v>
      </c>
      <c r="AM32" s="125">
        <f>AM476</f>
        <v>18.462</v>
      </c>
      <c r="AN32" s="125">
        <f>AN476</f>
        <v>15.898</v>
      </c>
      <c r="AO32" s="125">
        <f>AO476</f>
        <v>19.369</v>
      </c>
      <c r="AP32" s="125">
        <f>AP476</f>
        <v>29.193</v>
      </c>
      <c r="AQ32" s="124">
        <f>SUM(AM32:AP32)</f>
        <v>82.922</v>
      </c>
      <c r="AR32" s="125">
        <f>AR476</f>
        <v>22.458</v>
      </c>
      <c r="AS32" s="125">
        <f>AS476</f>
        <v>21.361</v>
      </c>
      <c r="AT32" s="125">
        <f>AT476</f>
        <v>27.28</v>
      </c>
      <c r="AU32" s="125">
        <f>AU476</f>
        <v>28.007</v>
      </c>
      <c r="AV32" s="124">
        <f>SUM(AR32:AU32)</f>
        <v>99.106</v>
      </c>
      <c r="AW32" s="125">
        <f>AW476</f>
        <v>30.543</v>
      </c>
      <c r="AX32" s="125">
        <f>AX476</f>
        <v>33.187</v>
      </c>
      <c r="AY32" s="125">
        <f>AY476</f>
        <v>32.179</v>
      </c>
      <c r="AZ32" s="125">
        <f>AZ476</f>
        <v>31.899</v>
      </c>
      <c r="BA32" s="124">
        <f>SUM(AW32:AZ32)</f>
        <v>127.808</v>
      </c>
      <c r="BB32" s="125">
        <f>BB476</f>
        <v>25.814</v>
      </c>
      <c r="BC32" s="125">
        <f>BC476</f>
        <v>30.992</v>
      </c>
      <c r="BD32" s="125">
        <f>BD476</f>
        <v>36.964</v>
      </c>
      <c r="BE32" s="125">
        <f>BE476</f>
        <v>48.905</v>
      </c>
      <c r="BF32" s="124">
        <f>SUM(BB32:BE32)</f>
        <v>142.675</v>
      </c>
      <c r="BG32" s="125">
        <f>BG476</f>
        <v>39.246</v>
      </c>
      <c r="BH32" s="125">
        <f>BH476</f>
        <v>45.732</v>
      </c>
      <c r="BI32" s="125">
        <f>BI476</f>
        <v>46.897</v>
      </c>
      <c r="BJ32" s="125">
        <f>BJ476</f>
        <v>54.873</v>
      </c>
      <c r="BK32" s="124">
        <f>SUM(BG32:BJ32)</f>
        <v>186.748</v>
      </c>
      <c r="BL32" s="125">
        <f>BL476</f>
        <v>43.985</v>
      </c>
      <c r="BM32" s="125">
        <f>BM476</f>
        <v>54.061</v>
      </c>
      <c r="BN32" s="125">
        <f>BN476</f>
        <v>62.753</v>
      </c>
      <c r="BO32" s="125">
        <f>BO476</f>
        <v>73.74</v>
      </c>
      <c r="BP32" s="124">
        <f>SUM(BL32:BO32)</f>
        <v>234.539</v>
      </c>
      <c r="BQ32" s="125">
        <f>BQ476</f>
        <v>58.72</v>
      </c>
      <c r="BR32" s="125">
        <f>BR476</f>
        <v>69.7</v>
      </c>
      <c r="BS32" s="125">
        <f>BS476</f>
        <v>81.403</v>
      </c>
      <c r="BT32" s="125">
        <f>BT476</f>
        <v>93.277</v>
      </c>
      <c r="BU32" s="124">
        <f>SUM(BQ32:BT32)</f>
        <v>303.1</v>
      </c>
      <c r="BV32" s="125">
        <f>BV476</f>
        <v>66.049</v>
      </c>
      <c r="BW32" s="125">
        <f>BW476</f>
        <v>81.96</v>
      </c>
      <c r="BX32" s="125">
        <f>BX476</f>
        <v>89.9</v>
      </c>
      <c r="BY32" s="125">
        <f>BY476</f>
        <v>102.5</v>
      </c>
      <c r="BZ32" s="124">
        <f>SUM(BV32:BY32)</f>
        <v>340.409</v>
      </c>
      <c r="CA32" s="125">
        <f>CA476</f>
        <v>39.953</v>
      </c>
      <c r="CB32" s="125">
        <f>CB476</f>
        <v>61.439</v>
      </c>
      <c r="CC32" s="125">
        <f>CC476</f>
        <v>127.407</v>
      </c>
      <c r="CD32" s="125">
        <f>CD476</f>
        <v>230.205</v>
      </c>
      <c r="CE32" s="124">
        <f>SUM(CA32:CD32)</f>
        <v>459.004</v>
      </c>
      <c r="CF32" s="125">
        <f>CF476</f>
        <v>144.792</v>
      </c>
      <c r="CG32" s="125">
        <f>CG476</f>
        <v>158.072</v>
      </c>
      <c r="CH32" s="125">
        <f>CH476</f>
        <v>156.736</v>
      </c>
      <c r="CI32" s="125">
        <f>CI476</f>
        <v>197.576</v>
      </c>
      <c r="CJ32" s="124">
        <f>SUM(CF32:CI32)</f>
        <v>657.176</v>
      </c>
      <c r="CK32" s="125">
        <f>CK476</f>
        <v>160.606</v>
      </c>
      <c r="CL32" s="125">
        <f>CL476</f>
        <v>189.826</v>
      </c>
      <c r="CM32" s="125">
        <f>CM476</f>
        <v>186.478</v>
      </c>
      <c r="CN32" s="125">
        <f>CN476</f>
        <v>225.69</v>
      </c>
      <c r="CO32" s="124">
        <f>SUM(CK32:CN32)</f>
        <v>762.6</v>
      </c>
      <c r="CP32" s="125">
        <f>CP476</f>
        <v>207.763</v>
      </c>
      <c r="CQ32" s="126">
        <f>CQ476</f>
        <v>218.553</v>
      </c>
      <c r="CR32" s="126">
        <f>CR476</f>
        <v>222.118</v>
      </c>
      <c r="CS32" s="126">
        <f>CS476</f>
        <v>248.778</v>
      </c>
      <c r="CT32" s="127">
        <f>SUM(CP32:CS32)</f>
        <v>897.212</v>
      </c>
      <c r="CU32" s="128">
        <v>232.579</v>
      </c>
      <c r="CV32" s="128">
        <v>244.828</v>
      </c>
      <c r="CW32" s="128">
        <v>241.36</v>
      </c>
      <c r="CX32" s="128">
        <v>291.041</v>
      </c>
      <c r="CY32" s="129">
        <f>SUM(CU32:CX32)</f>
        <v>1009.808</v>
      </c>
      <c r="CZ32" s="128">
        <v>256.663</v>
      </c>
      <c r="DA32" s="128">
        <v>277.174</v>
      </c>
      <c r="DB32" s="171">
        <v>292.612</v>
      </c>
      <c r="DC32" s="171">
        <f>DD32-CZ32-DA32-DB32</f>
        <v>307.71</v>
      </c>
      <c r="DD32" s="129">
        <v>1134.159</v>
      </c>
      <c r="DE32" s="171">
        <v>281.321</v>
      </c>
      <c r="DF32" s="171">
        <v>307.254</v>
      </c>
      <c r="DG32" s="172"/>
      <c r="DH32" s="172"/>
      <c r="DI32" s="173"/>
      <c r="DJ32" s="172"/>
      <c r="DK32" s="172"/>
      <c r="DL32" s="172"/>
      <c r="DM32" s="172"/>
      <c r="DN32" s="173"/>
      <c r="DO32" s="172"/>
      <c r="DP32" s="172"/>
      <c r="DQ32" s="172"/>
      <c r="DR32" s="172"/>
      <c r="DS32" s="173"/>
    </row>
    <row r="33" spans="2:123">
      <c r="B33" s="144" t="s">
        <v>69</v>
      </c>
      <c r="C33" s="124"/>
      <c r="D33" s="125"/>
      <c r="E33" s="125"/>
      <c r="F33" s="125"/>
      <c r="G33" s="125"/>
      <c r="H33" s="140">
        <f>H32/C32-1</f>
        <v>0.710974176888316</v>
      </c>
      <c r="I33" s="141">
        <f t="shared" ref="I33" si="154">I32/D32-1</f>
        <v>0.318916557448668</v>
      </c>
      <c r="J33" s="141">
        <f t="shared" ref="J33" si="155">J32/E32-1</f>
        <v>0.54901579950967</v>
      </c>
      <c r="K33" s="141">
        <f t="shared" ref="K33" si="156">K32/F32-1</f>
        <v>0.563385655362053</v>
      </c>
      <c r="L33" s="141">
        <f t="shared" ref="L33" si="157">L32/G32-1</f>
        <v>0.617045228960045</v>
      </c>
      <c r="M33" s="140">
        <f t="shared" ref="M33" si="158">M32/H32-1</f>
        <v>0.517393967354519</v>
      </c>
      <c r="N33" s="141">
        <f t="shared" ref="N33" si="159">N32/I32-1</f>
        <v>0.123129513083802</v>
      </c>
      <c r="O33" s="141">
        <f t="shared" ref="O33" si="160">O32/J32-1</f>
        <v>-0.0185516871109273</v>
      </c>
      <c r="P33" s="141">
        <f t="shared" ref="P33" si="161">P32/K32-1</f>
        <v>-0.0838879227393017</v>
      </c>
      <c r="Q33" s="141">
        <f t="shared" ref="Q33" si="162">Q32/L32-1</f>
        <v>0.311217601565712</v>
      </c>
      <c r="R33" s="140">
        <f t="shared" ref="R33" si="163">R32/M32-1</f>
        <v>0.108504565086774</v>
      </c>
      <c r="S33" s="141">
        <f t="shared" ref="S33" si="164">S32/N32-1</f>
        <v>0.115909916690458</v>
      </c>
      <c r="T33" s="141">
        <f t="shared" ref="T33" si="165">T32/O32-1</f>
        <v>0.287277385331228</v>
      </c>
      <c r="U33" s="141">
        <f t="shared" ref="U33" si="166">U32/P32-1</f>
        <v>0.511473885969909</v>
      </c>
      <c r="V33" s="141">
        <f t="shared" ref="V33" si="167">V32/Q32-1</f>
        <v>0.181101623741093</v>
      </c>
      <c r="W33" s="140">
        <f t="shared" ref="W33" si="168">W32/R32-1</f>
        <v>0.252095443444787</v>
      </c>
      <c r="X33" s="141">
        <f t="shared" ref="X33" si="169">X32/S32-1</f>
        <v>0.160225564764241</v>
      </c>
      <c r="Y33" s="141">
        <f t="shared" ref="Y33" si="170">Y32/T32-1</f>
        <v>0.367023267512716</v>
      </c>
      <c r="Z33" s="141">
        <f t="shared" ref="Z33" si="171">Z32/U32-1</f>
        <v>0.121080623914023</v>
      </c>
      <c r="AA33" s="141">
        <f t="shared" ref="AA33" si="172">AA32/V32-1</f>
        <v>-0.0650295292935348</v>
      </c>
      <c r="AB33" s="140">
        <f t="shared" ref="AB33" si="173">AB32/W32-1</f>
        <v>0.103039157224644</v>
      </c>
      <c r="AC33" s="141">
        <f t="shared" ref="AC33" si="174">AC32/X32-1</f>
        <v>0.545808656036448</v>
      </c>
      <c r="AD33" s="141">
        <f t="shared" ref="AD33" si="175">AD32/Y32-1</f>
        <v>0.344873230831889</v>
      </c>
      <c r="AE33" s="141">
        <f t="shared" ref="AE33" si="176">AE32/Z32-1</f>
        <v>0.812859975450855</v>
      </c>
      <c r="AF33" s="141">
        <f t="shared" ref="AF33" si="177">AF32/AA32-1</f>
        <v>0.294333381274272</v>
      </c>
      <c r="AG33" s="140">
        <f t="shared" ref="AG33" si="178">AG32/AB32-1</f>
        <v>0.484505081442295</v>
      </c>
      <c r="AH33" s="141">
        <f t="shared" ref="AH33" si="179">AH32/AC32-1</f>
        <v>0.212646439044516</v>
      </c>
      <c r="AI33" s="141">
        <f t="shared" ref="AI33" si="180">AI32/AD32-1</f>
        <v>0.173531193216233</v>
      </c>
      <c r="AJ33" s="141">
        <f t="shared" ref="AJ33" si="181">AJ32/AE32-1</f>
        <v>-0.151041666666667</v>
      </c>
      <c r="AK33" s="141">
        <f t="shared" ref="AK33" si="182">AK32/AF32-1</f>
        <v>0.608407133729652</v>
      </c>
      <c r="AL33" s="140">
        <f t="shared" ref="AL33" si="183">AL32/AG32-1</f>
        <v>0.206767199339785</v>
      </c>
      <c r="AM33" s="141">
        <f t="shared" ref="AM33" si="184">AM32/AH32-1</f>
        <v>0.12174540717499</v>
      </c>
      <c r="AN33" s="141">
        <f t="shared" ref="AN33" si="185">AN32/AI32-1</f>
        <v>0.0256774193548386</v>
      </c>
      <c r="AO33" s="141">
        <f t="shared" ref="AO33" si="186">AO32/AJ32-1</f>
        <v>0.188282208588957</v>
      </c>
      <c r="AP33" s="141">
        <f t="shared" ref="AP33" si="187">AP32/AK32-1</f>
        <v>0.00840353550915163</v>
      </c>
      <c r="AQ33" s="140">
        <f t="shared" ref="AQ33" si="188">AQ32/AL32-1</f>
        <v>0.0740078748316237</v>
      </c>
      <c r="AR33" s="141">
        <f t="shared" ref="AR33" si="189">AR32/AM32-1</f>
        <v>0.216444588885278</v>
      </c>
      <c r="AS33" s="141">
        <f t="shared" ref="AS33" si="190">AS32/AN32-1</f>
        <v>0.343628129324443</v>
      </c>
      <c r="AT33" s="141">
        <f t="shared" ref="AT33" si="191">AT32/AO32-1</f>
        <v>0.408436160875626</v>
      </c>
      <c r="AU33" s="141">
        <f t="shared" ref="AU33" si="192">AU32/AP32-1</f>
        <v>-0.040626177508307</v>
      </c>
      <c r="AV33" s="140">
        <f t="shared" ref="AV33" si="193">AV32/AQ32-1</f>
        <v>0.195171365861894</v>
      </c>
      <c r="AW33" s="141">
        <f t="shared" ref="AW33" si="194">AW32/AR32-1</f>
        <v>0.360005343307507</v>
      </c>
      <c r="AX33" s="141">
        <f t="shared" ref="AX33" si="195">AX32/AS32-1</f>
        <v>0.553625766583961</v>
      </c>
      <c r="AY33" s="141">
        <f t="shared" ref="AY33" si="196">AY32/AT32-1</f>
        <v>0.17958211143695</v>
      </c>
      <c r="AZ33" s="141">
        <f t="shared" ref="AZ33" si="197">AZ32/AU32-1</f>
        <v>0.13896525868533</v>
      </c>
      <c r="BA33" s="140">
        <f t="shared" ref="BA33" si="198">BA32/AV32-1</f>
        <v>0.289609105402297</v>
      </c>
      <c r="BB33" s="141">
        <f t="shared" ref="BB33" si="199">BB32/AW32-1</f>
        <v>-0.154830894149232</v>
      </c>
      <c r="BC33" s="141">
        <f t="shared" ref="BC33" si="200">BC32/AX32-1</f>
        <v>-0.066140356163558</v>
      </c>
      <c r="BD33" s="141">
        <f t="shared" ref="BD33" si="201">BD32/AY32-1</f>
        <v>0.148699462382299</v>
      </c>
      <c r="BE33" s="141">
        <f t="shared" ref="BE33" si="202">BE32/AZ32-1</f>
        <v>0.533120160506599</v>
      </c>
      <c r="BF33" s="140">
        <f t="shared" ref="BF33" si="203">BF32/BA32-1</f>
        <v>0.116322921882824</v>
      </c>
      <c r="BG33" s="141">
        <f t="shared" ref="BG33" si="204">BG32/BB32-1</f>
        <v>0.520337801193151</v>
      </c>
      <c r="BH33" s="141">
        <f t="shared" ref="BH33" si="205">BH32/BC32-1</f>
        <v>0.475606608156944</v>
      </c>
      <c r="BI33" s="141">
        <f t="shared" ref="BI33" si="206">BI32/BD32-1</f>
        <v>0.268720917649605</v>
      </c>
      <c r="BJ33" s="141">
        <f t="shared" ref="BJ33" si="207">BJ32/BE32-1</f>
        <v>0.122032512013086</v>
      </c>
      <c r="BK33" s="140">
        <f t="shared" ref="BK33" si="208">BK32/BF32-1</f>
        <v>0.308904853688453</v>
      </c>
      <c r="BL33" s="141">
        <f t="shared" ref="BL33" si="209">BL32/BG32-1</f>
        <v>0.12075115935382</v>
      </c>
      <c r="BM33" s="141">
        <f t="shared" ref="BM33" si="210">BM32/BH32-1</f>
        <v>0.18212630105834</v>
      </c>
      <c r="BN33" s="141">
        <f t="shared" ref="BN33" si="211">BN32/BI32-1</f>
        <v>0.33810265048937</v>
      </c>
      <c r="BO33" s="141">
        <f t="shared" ref="BO33" si="212">BO32/BJ32-1</f>
        <v>0.34383029905418</v>
      </c>
      <c r="BP33" s="140">
        <f t="shared" ref="BP33" si="213">BP32/BK32-1</f>
        <v>0.25591170989783</v>
      </c>
      <c r="BQ33" s="141">
        <f t="shared" ref="BQ33" si="214">BQ32/BL32-1</f>
        <v>0.335000568375583</v>
      </c>
      <c r="BR33" s="141">
        <f t="shared" ref="BR33" si="215">BR32/BM32-1</f>
        <v>0.289284326963985</v>
      </c>
      <c r="BS33" s="141">
        <f t="shared" ref="BS33" si="216">BS32/BN32-1</f>
        <v>0.297196946759517</v>
      </c>
      <c r="BT33" s="141">
        <f t="shared" ref="BT33" si="217">BT32/BO32-1</f>
        <v>0.264944399240575</v>
      </c>
      <c r="BU33" s="140">
        <f t="shared" ref="BU33" si="218">BU32/BP32-1</f>
        <v>0.292322385616038</v>
      </c>
      <c r="BV33" s="141">
        <f t="shared" ref="BV33" si="219">BV32/BQ32-1</f>
        <v>0.124812670299728</v>
      </c>
      <c r="BW33" s="141">
        <f t="shared" ref="BW33" si="220">BW32/BR32-1</f>
        <v>0.175896700143472</v>
      </c>
      <c r="BX33" s="141">
        <f t="shared" ref="BX33" si="221">BX32/BS32-1</f>
        <v>0.10438190238689</v>
      </c>
      <c r="BY33" s="141">
        <f t="shared" ref="BY33" si="222">BY32/BT32-1</f>
        <v>0.0988775367989967</v>
      </c>
      <c r="BZ33" s="140">
        <f t="shared" ref="BZ33" si="223">BZ32/BU32-1</f>
        <v>0.123091388980534</v>
      </c>
      <c r="CA33" s="141">
        <f t="shared" ref="CA33" si="224">CA32/BV32-1</f>
        <v>-0.395100607125013</v>
      </c>
      <c r="CB33" s="141">
        <f t="shared" ref="CB33" si="225">CB32/BW32-1</f>
        <v>-0.250378233284529</v>
      </c>
      <c r="CC33" s="141">
        <f t="shared" ref="CC33" si="226">CC32/BX32-1</f>
        <v>0.417208008898776</v>
      </c>
      <c r="CD33" s="141">
        <f t="shared" ref="CD33" si="227">CD32/BY32-1</f>
        <v>1.24590243902439</v>
      </c>
      <c r="CE33" s="140">
        <f t="shared" ref="CE33" si="228">CE32/BZ32-1</f>
        <v>0.34838973117632</v>
      </c>
      <c r="CF33" s="141">
        <f t="shared" ref="CF33" si="229">CF32/CA32-1</f>
        <v>2.62405826846545</v>
      </c>
      <c r="CG33" s="141">
        <f t="shared" ref="CG33" si="230">CG32/CB32-1</f>
        <v>1.5728283337945</v>
      </c>
      <c r="CH33" s="141">
        <f t="shared" ref="CH33" si="231">CH32/CC32-1</f>
        <v>0.230199282613985</v>
      </c>
      <c r="CI33" s="141">
        <f t="shared" ref="CI33" si="232">CI32/CD32-1</f>
        <v>-0.141738884906931</v>
      </c>
      <c r="CJ33" s="140">
        <f t="shared" ref="CJ33" si="233">CJ32/CE32-1</f>
        <v>0.431743514217741</v>
      </c>
      <c r="CK33" s="141">
        <f t="shared" ref="CK33" si="234">CK32/CF32-1</f>
        <v>0.109218741366926</v>
      </c>
      <c r="CL33" s="141">
        <f t="shared" ref="CL33" si="235">CL32/CG32-1</f>
        <v>0.200883141859406</v>
      </c>
      <c r="CM33" s="141">
        <f t="shared" ref="CM33" si="236">CM32/CH32-1</f>
        <v>0.189758574928542</v>
      </c>
      <c r="CN33" s="141">
        <f t="shared" ref="CN33" si="237">CN32/CI32-1</f>
        <v>0.14229461068146</v>
      </c>
      <c r="CO33" s="140">
        <f t="shared" ref="CO33" si="238">CO32/CJ32-1</f>
        <v>0.160419735352478</v>
      </c>
      <c r="CP33" s="141">
        <f t="shared" ref="CP33" si="239">CP32/CK32-1</f>
        <v>0.293619167403459</v>
      </c>
      <c r="CQ33" s="141">
        <f t="shared" ref="CQ33" si="240">CQ32/CL32-1</f>
        <v>0.151333326309357</v>
      </c>
      <c r="CR33" s="141">
        <f t="shared" ref="CR33" si="241">CR32/CM32-1</f>
        <v>0.191121740902412</v>
      </c>
      <c r="CS33" s="141">
        <f t="shared" ref="CS33" si="242">CS32/CN32-1</f>
        <v>0.102299614515486</v>
      </c>
      <c r="CT33" s="140">
        <f t="shared" ref="CT33" si="243">CT32/CO32-1</f>
        <v>0.176517178075006</v>
      </c>
      <c r="CU33" s="142">
        <f t="shared" ref="CU33" si="244">CU32/CP32-1</f>
        <v>0.119443789317636</v>
      </c>
      <c r="CV33" s="142">
        <f t="shared" ref="CV33" si="245">CV32/CQ32-1</f>
        <v>0.120222554712129</v>
      </c>
      <c r="CW33" s="142">
        <f t="shared" ref="CW33" si="246">CW32/CR32-1</f>
        <v>0.0866296292961399</v>
      </c>
      <c r="CX33" s="142">
        <f t="shared" ref="CX33" si="247">CX32/CS32-1</f>
        <v>0.169882385098361</v>
      </c>
      <c r="CY33" s="143">
        <f t="shared" ref="CY33" si="248">CY32/CT32-1</f>
        <v>0.125495423601111</v>
      </c>
      <c r="CZ33" s="142">
        <f t="shared" ref="CZ33" si="249">CZ32/CU32-1</f>
        <v>0.103551911393548</v>
      </c>
      <c r="DA33" s="142">
        <f t="shared" ref="DA33:DB33" si="250">DA32/CV32-1</f>
        <v>0.132117241491986</v>
      </c>
      <c r="DB33" s="142">
        <f t="shared" si="250"/>
        <v>0.212346702021876</v>
      </c>
      <c r="DC33" s="142">
        <f t="shared" ref="DC33" si="251">DC32/CX32-1</f>
        <v>0.0572737174487445</v>
      </c>
      <c r="DD33" s="143">
        <f t="shared" ref="DD33:DF33" si="252">DD32/CY32-1</f>
        <v>0.123143211382758</v>
      </c>
      <c r="DE33" s="142">
        <f t="shared" si="252"/>
        <v>0.096071502320163</v>
      </c>
      <c r="DF33" s="142">
        <f t="shared" si="252"/>
        <v>0.108523887521918</v>
      </c>
      <c r="DG33" s="172"/>
      <c r="DH33" s="172"/>
      <c r="DI33" s="173"/>
      <c r="DJ33" s="172"/>
      <c r="DK33" s="172"/>
      <c r="DL33" s="172"/>
      <c r="DM33" s="172"/>
      <c r="DN33" s="173"/>
      <c r="DO33" s="172"/>
      <c r="DP33" s="172"/>
      <c r="DQ33" s="172"/>
      <c r="DR33" s="172"/>
      <c r="DS33" s="173"/>
    </row>
    <row r="34" s="86" customFormat="1" spans="2:123">
      <c r="B34" s="175" t="s">
        <v>56</v>
      </c>
      <c r="C34" s="176">
        <f>C28+C30+C32</f>
        <v>40.749</v>
      </c>
      <c r="D34" s="177">
        <f t="shared" ref="D34:BO34" si="253">D28+D30+D32</f>
        <v>15.63</v>
      </c>
      <c r="E34" s="177">
        <f t="shared" si="253"/>
        <v>17.126</v>
      </c>
      <c r="F34" s="177">
        <f t="shared" si="253"/>
        <v>19.984</v>
      </c>
      <c r="G34" s="177">
        <f t="shared" si="253"/>
        <v>31.389093</v>
      </c>
      <c r="H34" s="176">
        <f t="shared" si="253"/>
        <v>84.129093</v>
      </c>
      <c r="I34" s="177">
        <f t="shared" si="253"/>
        <v>28.184</v>
      </c>
      <c r="J34" s="177">
        <f t="shared" si="253"/>
        <v>32.517437</v>
      </c>
      <c r="K34" s="177">
        <f t="shared" si="253"/>
        <v>35.967615</v>
      </c>
      <c r="L34" s="177">
        <f t="shared" si="253"/>
        <v>52.215782</v>
      </c>
      <c r="M34" s="176">
        <f t="shared" si="253"/>
        <v>148.884834</v>
      </c>
      <c r="N34" s="177">
        <f t="shared" si="253"/>
        <v>44.789456</v>
      </c>
      <c r="O34" s="177">
        <f t="shared" si="253"/>
        <v>58.680944</v>
      </c>
      <c r="P34" s="177">
        <f t="shared" si="253"/>
        <v>66.15028</v>
      </c>
      <c r="Q34" s="177">
        <f t="shared" si="253"/>
        <v>105.092648</v>
      </c>
      <c r="R34" s="176">
        <f t="shared" si="253"/>
        <v>274.713328</v>
      </c>
      <c r="S34" s="177">
        <f t="shared" si="253"/>
        <v>78.167494</v>
      </c>
      <c r="T34" s="177">
        <f t="shared" si="253"/>
        <v>85.484223</v>
      </c>
      <c r="U34" s="177">
        <f t="shared" si="253"/>
        <v>87.047135</v>
      </c>
      <c r="V34" s="177">
        <f t="shared" si="253"/>
        <v>103.921</v>
      </c>
      <c r="W34" s="176">
        <f t="shared" si="253"/>
        <v>354.619852</v>
      </c>
      <c r="X34" s="177">
        <f t="shared" si="253"/>
        <v>81.68</v>
      </c>
      <c r="Y34" s="177">
        <f t="shared" si="253"/>
        <v>97.721</v>
      </c>
      <c r="Z34" s="177">
        <f t="shared" si="253"/>
        <v>112.891</v>
      </c>
      <c r="AA34" s="177">
        <f t="shared" si="253"/>
        <v>160.606</v>
      </c>
      <c r="AB34" s="176">
        <f t="shared" si="253"/>
        <v>452.898</v>
      </c>
      <c r="AC34" s="177">
        <f t="shared" si="253"/>
        <v>138.297</v>
      </c>
      <c r="AD34" s="177">
        <f t="shared" si="253"/>
        <v>152.208</v>
      </c>
      <c r="AE34" s="177">
        <f t="shared" si="253"/>
        <v>175.8</v>
      </c>
      <c r="AF34" s="177">
        <f t="shared" si="253"/>
        <v>245.399</v>
      </c>
      <c r="AG34" s="176">
        <f t="shared" si="253"/>
        <v>711.704</v>
      </c>
      <c r="AH34" s="177">
        <f t="shared" si="253"/>
        <v>186.78</v>
      </c>
      <c r="AI34" s="177">
        <f t="shared" si="253"/>
        <v>212.323</v>
      </c>
      <c r="AJ34" s="177">
        <f t="shared" si="253"/>
        <v>230.216</v>
      </c>
      <c r="AK34" s="177">
        <f t="shared" si="253"/>
        <v>371.52</v>
      </c>
      <c r="AL34" s="176">
        <f t="shared" si="253"/>
        <v>1000.839</v>
      </c>
      <c r="AM34" s="177">
        <f t="shared" si="253"/>
        <v>285.698</v>
      </c>
      <c r="AN34" s="177">
        <f t="shared" si="253"/>
        <v>282.634</v>
      </c>
      <c r="AO34" s="177">
        <f t="shared" si="253"/>
        <v>316.537</v>
      </c>
      <c r="AP34" s="177">
        <f t="shared" si="253"/>
        <v>485.525</v>
      </c>
      <c r="AQ34" s="176">
        <f t="shared" si="253"/>
        <v>1370.394</v>
      </c>
      <c r="AR34" s="177">
        <f t="shared" si="253"/>
        <v>345.782</v>
      </c>
      <c r="AS34" s="177">
        <f t="shared" si="253"/>
        <v>344.513</v>
      </c>
      <c r="AT34" s="177">
        <f t="shared" si="253"/>
        <v>379.9</v>
      </c>
      <c r="AU34" s="177">
        <f t="shared" si="253"/>
        <v>520.993</v>
      </c>
      <c r="AV34" s="176">
        <f t="shared" si="253"/>
        <v>1591.188</v>
      </c>
      <c r="AW34" s="177">
        <f t="shared" si="253"/>
        <v>384.618</v>
      </c>
      <c r="AX34" s="177">
        <f t="shared" si="253"/>
        <v>390.727</v>
      </c>
      <c r="AY34" s="177">
        <f t="shared" si="253"/>
        <v>419.396</v>
      </c>
      <c r="AZ34" s="177">
        <f t="shared" si="253"/>
        <v>602.469</v>
      </c>
      <c r="BA34" s="176">
        <f t="shared" si="253"/>
        <v>1797.21</v>
      </c>
      <c r="BB34" s="177">
        <f t="shared" si="253"/>
        <v>423.544</v>
      </c>
      <c r="BC34" s="177">
        <f t="shared" si="253"/>
        <v>453.01</v>
      </c>
      <c r="BD34" s="177">
        <f t="shared" si="253"/>
        <v>479.693</v>
      </c>
      <c r="BE34" s="177">
        <f t="shared" si="253"/>
        <v>704.276</v>
      </c>
      <c r="BF34" s="176">
        <f t="shared" si="253"/>
        <v>2060.523</v>
      </c>
      <c r="BG34" s="177">
        <f t="shared" si="253"/>
        <v>495.516</v>
      </c>
      <c r="BH34" s="177">
        <f t="shared" si="253"/>
        <v>514.52</v>
      </c>
      <c r="BI34" s="177">
        <f t="shared" si="253"/>
        <v>544.416</v>
      </c>
      <c r="BJ34" s="177">
        <f t="shared" si="253"/>
        <v>789.94</v>
      </c>
      <c r="BK34" s="176">
        <f t="shared" si="253"/>
        <v>2344.392</v>
      </c>
      <c r="BL34" s="177">
        <f t="shared" si="253"/>
        <v>520.307</v>
      </c>
      <c r="BM34" s="177">
        <f t="shared" si="253"/>
        <v>581.054</v>
      </c>
      <c r="BN34" s="177">
        <f t="shared" si="253"/>
        <v>619.034</v>
      </c>
      <c r="BO34" s="177">
        <f t="shared" si="253"/>
        <v>928.78</v>
      </c>
      <c r="BP34" s="176">
        <f t="shared" ref="BP34:DA34" si="254">BP28+BP30+BP32</f>
        <v>2649.175</v>
      </c>
      <c r="BQ34" s="177">
        <f t="shared" si="254"/>
        <v>649.66</v>
      </c>
      <c r="BR34" s="177">
        <f t="shared" si="254"/>
        <v>723.5</v>
      </c>
      <c r="BS34" s="177">
        <f t="shared" si="254"/>
        <v>747.655</v>
      </c>
      <c r="BT34" s="177">
        <f t="shared" si="254"/>
        <v>1167.504</v>
      </c>
      <c r="BU34" s="176">
        <f t="shared" si="254"/>
        <v>3288.319</v>
      </c>
      <c r="BV34" s="177">
        <f t="shared" si="254"/>
        <v>782.315</v>
      </c>
      <c r="BW34" s="177">
        <f t="shared" si="254"/>
        <v>883.352</v>
      </c>
      <c r="BX34" s="177">
        <f t="shared" si="254"/>
        <v>916.1</v>
      </c>
      <c r="BY34" s="177">
        <f t="shared" si="254"/>
        <v>1397.5</v>
      </c>
      <c r="BZ34" s="176">
        <f t="shared" si="254"/>
        <v>3979.267</v>
      </c>
      <c r="CA34" s="177">
        <f t="shared" si="254"/>
        <v>651.962</v>
      </c>
      <c r="CB34" s="177">
        <f t="shared" si="254"/>
        <v>902.939</v>
      </c>
      <c r="CC34" s="177">
        <f t="shared" si="254"/>
        <v>1117.426</v>
      </c>
      <c r="CD34" s="177">
        <f t="shared" si="254"/>
        <v>1729.552</v>
      </c>
      <c r="CE34" s="176">
        <f t="shared" si="254"/>
        <v>4401.879</v>
      </c>
      <c r="CF34" s="177">
        <f t="shared" si="254"/>
        <v>1226.476</v>
      </c>
      <c r="CG34" s="177">
        <f t="shared" si="254"/>
        <v>1450.618</v>
      </c>
      <c r="CH34" s="177">
        <f t="shared" si="254"/>
        <v>1450.421</v>
      </c>
      <c r="CI34" s="177">
        <f t="shared" si="254"/>
        <v>2129.102</v>
      </c>
      <c r="CJ34" s="176">
        <f t="shared" si="254"/>
        <v>6256.617</v>
      </c>
      <c r="CK34" s="177">
        <f t="shared" si="254"/>
        <v>1613.463</v>
      </c>
      <c r="CL34" s="177">
        <f t="shared" si="254"/>
        <v>1868.328</v>
      </c>
      <c r="CM34" s="177">
        <f t="shared" si="254"/>
        <v>1856.889</v>
      </c>
      <c r="CN34" s="177">
        <f t="shared" si="254"/>
        <v>2771.838</v>
      </c>
      <c r="CO34" s="176">
        <f t="shared" si="254"/>
        <v>8110.518</v>
      </c>
      <c r="CP34" s="177">
        <f t="shared" si="254"/>
        <v>2000.792</v>
      </c>
      <c r="CQ34" s="135">
        <f t="shared" si="254"/>
        <v>2209.165</v>
      </c>
      <c r="CR34" s="135">
        <f t="shared" si="254"/>
        <v>2204.218</v>
      </c>
      <c r="CS34" s="135">
        <f t="shared" si="254"/>
        <v>3205.103</v>
      </c>
      <c r="CT34" s="136">
        <f t="shared" si="254"/>
        <v>9619.278</v>
      </c>
      <c r="CU34" s="135">
        <f t="shared" si="254"/>
        <v>2208.891</v>
      </c>
      <c r="CV34" s="135">
        <f t="shared" si="254"/>
        <v>2371.078</v>
      </c>
      <c r="CW34" s="135">
        <f t="shared" si="254"/>
        <v>2396.66</v>
      </c>
      <c r="CX34" s="135">
        <f t="shared" si="254"/>
        <v>3611.497</v>
      </c>
      <c r="CY34" s="136">
        <f t="shared" si="254"/>
        <v>10588.126</v>
      </c>
      <c r="CZ34" s="135">
        <f t="shared" si="254"/>
        <v>2370.66</v>
      </c>
      <c r="DA34" s="135">
        <f t="shared" si="254"/>
        <v>2525.219</v>
      </c>
      <c r="DB34" s="135">
        <f t="shared" ref="DB34:DF34" si="255">DB28+DB30+DB32</f>
        <v>2565.92</v>
      </c>
      <c r="DC34" s="135">
        <f t="shared" si="255"/>
        <v>3640.801</v>
      </c>
      <c r="DD34" s="136">
        <f t="shared" si="255"/>
        <v>11102.6</v>
      </c>
      <c r="DE34" s="135">
        <f t="shared" si="255"/>
        <v>2471.603</v>
      </c>
      <c r="DF34" s="135">
        <f t="shared" si="255"/>
        <v>2415.631</v>
      </c>
      <c r="DG34" s="168"/>
      <c r="DH34" s="168"/>
      <c r="DI34" s="167"/>
      <c r="DJ34" s="168"/>
      <c r="DK34" s="168"/>
      <c r="DL34" s="168"/>
      <c r="DM34" s="168"/>
      <c r="DN34" s="167"/>
      <c r="DO34" s="168"/>
      <c r="DP34" s="168"/>
      <c r="DQ34" s="168"/>
      <c r="DR34" s="168"/>
      <c r="DS34" s="167"/>
    </row>
    <row r="35" s="86" customFormat="1" spans="2:123">
      <c r="B35" s="175"/>
      <c r="C35" s="167"/>
      <c r="D35" s="168"/>
      <c r="E35" s="168"/>
      <c r="F35" s="168"/>
      <c r="G35" s="168"/>
      <c r="H35" s="167"/>
      <c r="I35" s="168"/>
      <c r="J35" s="168"/>
      <c r="K35" s="168"/>
      <c r="L35" s="168"/>
      <c r="M35" s="167"/>
      <c r="N35" s="168"/>
      <c r="O35" s="168"/>
      <c r="P35" s="168"/>
      <c r="Q35" s="168"/>
      <c r="R35" s="167"/>
      <c r="S35" s="169"/>
      <c r="T35" s="169"/>
      <c r="U35" s="169"/>
      <c r="V35" s="169"/>
      <c r="W35" s="170"/>
      <c r="X35" s="169"/>
      <c r="Y35" s="169"/>
      <c r="Z35" s="169"/>
      <c r="AA35" s="169"/>
      <c r="AB35" s="170"/>
      <c r="AC35" s="169"/>
      <c r="AD35" s="169"/>
      <c r="AE35" s="169"/>
      <c r="AF35" s="169"/>
      <c r="AG35" s="170"/>
      <c r="AH35" s="169"/>
      <c r="AI35" s="169"/>
      <c r="AJ35" s="169"/>
      <c r="AK35" s="169"/>
      <c r="AL35" s="170"/>
      <c r="AM35" s="169"/>
      <c r="AN35" s="169"/>
      <c r="AO35" s="169"/>
      <c r="AP35" s="169"/>
      <c r="AQ35" s="170"/>
      <c r="AR35" s="169"/>
      <c r="AS35" s="169"/>
      <c r="AT35" s="169"/>
      <c r="AU35" s="169"/>
      <c r="AV35" s="170"/>
      <c r="AW35" s="169"/>
      <c r="AX35" s="169"/>
      <c r="AY35" s="169"/>
      <c r="AZ35" s="169"/>
      <c r="BA35" s="170"/>
      <c r="BB35" s="168"/>
      <c r="BC35" s="168"/>
      <c r="BD35" s="168"/>
      <c r="BE35" s="168"/>
      <c r="BF35" s="170"/>
      <c r="BG35" s="168"/>
      <c r="BH35" s="168"/>
      <c r="BI35" s="168"/>
      <c r="BJ35" s="168"/>
      <c r="BK35" s="170"/>
      <c r="BL35" s="168"/>
      <c r="BM35" s="168"/>
      <c r="BN35" s="168"/>
      <c r="BO35" s="168"/>
      <c r="BP35" s="170"/>
      <c r="BQ35" s="168"/>
      <c r="BR35" s="168"/>
      <c r="BS35" s="168"/>
      <c r="BT35" s="168"/>
      <c r="BU35" s="170"/>
      <c r="BV35" s="168"/>
      <c r="BW35" s="168"/>
      <c r="BX35" s="168"/>
      <c r="BY35" s="168"/>
      <c r="BZ35" s="167"/>
      <c r="CA35" s="168"/>
      <c r="CB35" s="168"/>
      <c r="CC35" s="168"/>
      <c r="CD35" s="168"/>
      <c r="CE35" s="167"/>
      <c r="CF35" s="168"/>
      <c r="CG35" s="168"/>
      <c r="CH35" s="168"/>
      <c r="CI35" s="168"/>
      <c r="CJ35" s="167"/>
      <c r="CK35" s="168"/>
      <c r="CL35" s="168"/>
      <c r="CM35" s="168"/>
      <c r="CN35" s="168"/>
      <c r="CO35" s="167"/>
      <c r="CP35" s="168"/>
      <c r="CQ35" s="168"/>
      <c r="CR35" s="168"/>
      <c r="CS35" s="168"/>
      <c r="CT35" s="167"/>
      <c r="CU35" s="168"/>
      <c r="CV35" s="168"/>
      <c r="CW35" s="168"/>
      <c r="CX35" s="168"/>
      <c r="CY35" s="167"/>
      <c r="CZ35" s="168"/>
      <c r="DA35" s="168"/>
      <c r="DB35" s="168"/>
      <c r="DC35" s="168"/>
      <c r="DD35" s="167"/>
      <c r="DE35" s="168"/>
      <c r="DF35" s="168"/>
      <c r="DG35" s="168"/>
      <c r="DH35" s="168"/>
      <c r="DI35" s="167"/>
      <c r="DJ35" s="168"/>
      <c r="DK35" s="168"/>
      <c r="DL35" s="168"/>
      <c r="DM35" s="168"/>
      <c r="DN35" s="167"/>
      <c r="DO35" s="168"/>
      <c r="DP35" s="168"/>
      <c r="DQ35" s="168"/>
      <c r="DR35" s="168"/>
      <c r="DS35" s="167"/>
    </row>
    <row r="36" s="86" customFormat="1" spans="2:123">
      <c r="B36" s="130" t="s">
        <v>297</v>
      </c>
      <c r="C36" s="167"/>
      <c r="D36" s="168"/>
      <c r="E36" s="168"/>
      <c r="F36" s="168"/>
      <c r="G36" s="168"/>
      <c r="H36" s="167"/>
      <c r="I36" s="168"/>
      <c r="J36" s="168"/>
      <c r="K36" s="168"/>
      <c r="L36" s="168"/>
      <c r="M36" s="167"/>
      <c r="N36" s="168"/>
      <c r="O36" s="168"/>
      <c r="P36" s="168"/>
      <c r="Q36" s="168"/>
      <c r="R36" s="167"/>
      <c r="S36" s="169"/>
      <c r="T36" s="169"/>
      <c r="U36" s="169"/>
      <c r="V36" s="169"/>
      <c r="W36" s="170"/>
      <c r="X36" s="169"/>
      <c r="Y36" s="169"/>
      <c r="Z36" s="169"/>
      <c r="AA36" s="169"/>
      <c r="AB36" s="170"/>
      <c r="AC36" s="169"/>
      <c r="AD36" s="169"/>
      <c r="AE36" s="169"/>
      <c r="AF36" s="169"/>
      <c r="AG36" s="170"/>
      <c r="AH36" s="169"/>
      <c r="AI36" s="169"/>
      <c r="AJ36" s="169"/>
      <c r="AK36" s="169"/>
      <c r="AL36" s="170"/>
      <c r="AM36" s="169"/>
      <c r="AN36" s="169"/>
      <c r="AO36" s="169"/>
      <c r="AP36" s="169"/>
      <c r="AQ36" s="170"/>
      <c r="AR36" s="169"/>
      <c r="AS36" s="169"/>
      <c r="AT36" s="169"/>
      <c r="AU36" s="169"/>
      <c r="AV36" s="170"/>
      <c r="AW36" s="169"/>
      <c r="AX36" s="169"/>
      <c r="AY36" s="169"/>
      <c r="AZ36" s="169"/>
      <c r="BA36" s="170"/>
      <c r="BB36" s="168"/>
      <c r="BC36" s="168"/>
      <c r="BD36" s="168"/>
      <c r="BE36" s="168"/>
      <c r="BF36" s="170"/>
      <c r="BG36" s="168"/>
      <c r="BH36" s="168"/>
      <c r="BI36" s="168"/>
      <c r="BJ36" s="168"/>
      <c r="BK36" s="170"/>
      <c r="BL36" s="168"/>
      <c r="BM36" s="168"/>
      <c r="BN36" s="168"/>
      <c r="BO36" s="168"/>
      <c r="BP36" s="170"/>
      <c r="BQ36" s="168"/>
      <c r="BR36" s="168"/>
      <c r="BS36" s="168"/>
      <c r="BT36" s="168"/>
      <c r="BU36" s="170"/>
      <c r="BV36" s="168"/>
      <c r="BW36" s="168"/>
      <c r="BX36" s="168"/>
      <c r="BY36" s="168"/>
      <c r="BZ36" s="167"/>
      <c r="CA36" s="168"/>
      <c r="CB36" s="168"/>
      <c r="CC36" s="168"/>
      <c r="CD36" s="168"/>
      <c r="CE36" s="167"/>
      <c r="CF36" s="178"/>
      <c r="CG36" s="178"/>
      <c r="CH36" s="178"/>
      <c r="CI36" s="178"/>
      <c r="CJ36" s="167"/>
      <c r="CK36" s="178"/>
      <c r="CL36" s="178"/>
      <c r="CM36" s="178"/>
      <c r="CN36" s="168"/>
      <c r="CO36" s="167"/>
      <c r="CP36" s="168"/>
      <c r="CQ36" s="168"/>
      <c r="CR36" s="168"/>
      <c r="CS36" s="168"/>
      <c r="CT36" s="167"/>
      <c r="CU36" s="168"/>
      <c r="CV36" s="168"/>
      <c r="CW36" s="168"/>
      <c r="CX36" s="168"/>
      <c r="CY36" s="167"/>
      <c r="CZ36" s="168"/>
      <c r="DA36" s="168"/>
      <c r="DB36" s="168"/>
      <c r="DC36" s="168"/>
      <c r="DD36" s="167"/>
      <c r="DE36" s="168"/>
      <c r="DF36" s="168"/>
      <c r="DG36" s="168"/>
      <c r="DH36" s="168"/>
      <c r="DI36" s="167"/>
      <c r="DJ36" s="168"/>
      <c r="DK36" s="168"/>
      <c r="DL36" s="168"/>
      <c r="DM36" s="168"/>
      <c r="DN36" s="167"/>
      <c r="DO36" s="168"/>
      <c r="DP36" s="168"/>
      <c r="DQ36" s="168"/>
      <c r="DR36" s="168"/>
      <c r="DS36" s="167"/>
    </row>
    <row r="37" s="88" customFormat="1" spans="2:123">
      <c r="B37" s="179" t="s">
        <v>298</v>
      </c>
      <c r="C37" s="124"/>
      <c r="D37" s="125"/>
      <c r="E37" s="125"/>
      <c r="F37" s="125"/>
      <c r="G37" s="125"/>
      <c r="H37" s="124"/>
      <c r="I37" s="125"/>
      <c r="J37" s="125"/>
      <c r="K37" s="125"/>
      <c r="L37" s="125"/>
      <c r="M37" s="124"/>
      <c r="N37" s="125"/>
      <c r="O37" s="125"/>
      <c r="P37" s="125"/>
      <c r="Q37" s="125"/>
      <c r="R37" s="124"/>
      <c r="S37" s="125"/>
      <c r="T37" s="125"/>
      <c r="U37" s="125"/>
      <c r="V37" s="125"/>
      <c r="W37" s="124"/>
      <c r="X37" s="125"/>
      <c r="Y37" s="125"/>
      <c r="Z37" s="125"/>
      <c r="AA37" s="125"/>
      <c r="AB37" s="124"/>
      <c r="AC37" s="125"/>
      <c r="AD37" s="125"/>
      <c r="AE37" s="125"/>
      <c r="AF37" s="125"/>
      <c r="AG37" s="124"/>
      <c r="AH37" s="125"/>
      <c r="AI37" s="125"/>
      <c r="AJ37" s="125"/>
      <c r="AK37" s="125"/>
      <c r="AL37" s="124"/>
      <c r="AM37" s="125"/>
      <c r="AN37" s="125"/>
      <c r="AO37" s="125"/>
      <c r="AP37" s="125"/>
      <c r="AQ37" s="124"/>
      <c r="AR37" s="125"/>
      <c r="AS37" s="125"/>
      <c r="AT37" s="125"/>
      <c r="AU37" s="125"/>
      <c r="AV37" s="124"/>
      <c r="AW37" s="125"/>
      <c r="AX37" s="125"/>
      <c r="AY37" s="125"/>
      <c r="AZ37" s="125"/>
      <c r="BA37" s="124"/>
      <c r="BB37" s="125"/>
      <c r="BC37" s="125"/>
      <c r="BD37" s="125"/>
      <c r="BE37" s="125"/>
      <c r="BF37" s="124"/>
      <c r="BG37" s="125"/>
      <c r="BH37" s="125"/>
      <c r="BI37" s="125"/>
      <c r="BJ37" s="125"/>
      <c r="BK37" s="124"/>
      <c r="BL37" s="125"/>
      <c r="BM37" s="125"/>
      <c r="BN37" s="125"/>
      <c r="BO37" s="125"/>
      <c r="BP37" s="124">
        <v>1892.624</v>
      </c>
      <c r="BQ37" s="125"/>
      <c r="BR37" s="125"/>
      <c r="BS37" s="125"/>
      <c r="BT37" s="125"/>
      <c r="BU37" s="124">
        <v>2352.788</v>
      </c>
      <c r="BV37" s="125">
        <v>562.983</v>
      </c>
      <c r="BW37" s="125">
        <v>616.197</v>
      </c>
      <c r="BX37" s="125">
        <v>650.269</v>
      </c>
      <c r="BY37" s="125">
        <f>BZ37-SUM(BV37:BX37)</f>
        <v>961.548</v>
      </c>
      <c r="BZ37" s="124">
        <v>2790.997</v>
      </c>
      <c r="CA37" s="125">
        <v>480.313</v>
      </c>
      <c r="CB37" s="125">
        <v>649.31</v>
      </c>
      <c r="CC37" s="125">
        <v>791.946</v>
      </c>
      <c r="CD37" s="125">
        <f>CE37-SUM(CA37:CC37)</f>
        <v>1128.337</v>
      </c>
      <c r="CE37" s="124">
        <v>3049.906</v>
      </c>
      <c r="CF37" s="125">
        <v>849.645</v>
      </c>
      <c r="CG37" s="125">
        <v>968.951</v>
      </c>
      <c r="CH37" s="125">
        <v>984.952</v>
      </c>
      <c r="CI37" s="125">
        <f>CJ37-SUM(CF37:CH37)</f>
        <v>1368.214</v>
      </c>
      <c r="CJ37" s="124">
        <v>4171.762</v>
      </c>
      <c r="CK37" s="125">
        <v>1073.924</v>
      </c>
      <c r="CL37" s="125">
        <v>1205.636</v>
      </c>
      <c r="CM37" s="172">
        <v>1204.835</v>
      </c>
      <c r="CN37" s="125">
        <f>CO37-CM37-CL37-CK37</f>
        <v>1775.408</v>
      </c>
      <c r="CO37" s="124">
        <v>5259.803</v>
      </c>
      <c r="CP37" s="128">
        <v>1308.828</v>
      </c>
      <c r="CQ37" s="126">
        <v>1396.327</v>
      </c>
      <c r="CR37" s="126">
        <v>1433.927</v>
      </c>
      <c r="CS37" s="126">
        <f>CT37-SUM(CP37:CR37)</f>
        <v>2008.29</v>
      </c>
      <c r="CT37" s="127">
        <v>6147.372</v>
      </c>
      <c r="CU37" s="126">
        <v>1435.241</v>
      </c>
      <c r="CV37" s="126">
        <v>1476.121</v>
      </c>
      <c r="CW37" s="126">
        <v>1555.686</v>
      </c>
      <c r="CX37" s="126">
        <f>CY37-CU37-CV37-CW37</f>
        <v>2225.582</v>
      </c>
      <c r="CY37" s="127">
        <v>6692.63</v>
      </c>
      <c r="CZ37" s="126">
        <v>1535.172</v>
      </c>
      <c r="DA37" s="126">
        <v>1547.321</v>
      </c>
      <c r="DB37" s="171">
        <v>1644.952</v>
      </c>
      <c r="DC37" s="171">
        <f>DD37-CZ37-DA37-DB37</f>
        <v>2267.92</v>
      </c>
      <c r="DD37" s="127">
        <v>6995.365</v>
      </c>
      <c r="DE37" s="171">
        <v>1602.985</v>
      </c>
      <c r="DF37" s="171">
        <v>1488.241</v>
      </c>
      <c r="DG37" s="125"/>
      <c r="DH37" s="125"/>
      <c r="DI37" s="124"/>
      <c r="DJ37" s="125"/>
      <c r="DK37" s="125"/>
      <c r="DL37" s="125"/>
      <c r="DM37" s="125"/>
      <c r="DN37" s="124"/>
      <c r="DO37" s="125"/>
      <c r="DP37" s="125"/>
      <c r="DQ37" s="125"/>
      <c r="DR37" s="125"/>
      <c r="DS37" s="124"/>
    </row>
    <row r="38" spans="2:123">
      <c r="B38" s="144" t="s">
        <v>69</v>
      </c>
      <c r="C38" s="180"/>
      <c r="D38" s="181"/>
      <c r="E38" s="181"/>
      <c r="F38" s="181"/>
      <c r="G38" s="181"/>
      <c r="H38" s="180"/>
      <c r="I38" s="181"/>
      <c r="J38" s="181"/>
      <c r="K38" s="181"/>
      <c r="L38" s="181"/>
      <c r="M38" s="180"/>
      <c r="N38" s="181"/>
      <c r="O38" s="181"/>
      <c r="P38" s="181"/>
      <c r="Q38" s="181"/>
      <c r="R38" s="180"/>
      <c r="S38" s="181"/>
      <c r="T38" s="181"/>
      <c r="U38" s="181"/>
      <c r="V38" s="181"/>
      <c r="W38" s="180"/>
      <c r="X38" s="181"/>
      <c r="Y38" s="181"/>
      <c r="Z38" s="181"/>
      <c r="AA38" s="181"/>
      <c r="AB38" s="180"/>
      <c r="AC38" s="181"/>
      <c r="AD38" s="181"/>
      <c r="AE38" s="181"/>
      <c r="AF38" s="181"/>
      <c r="AG38" s="180"/>
      <c r="AH38" s="181"/>
      <c r="AI38" s="181"/>
      <c r="AJ38" s="181"/>
      <c r="AK38" s="181"/>
      <c r="AL38" s="180"/>
      <c r="AM38" s="181"/>
      <c r="AN38" s="181"/>
      <c r="AO38" s="181"/>
      <c r="AP38" s="181"/>
      <c r="AQ38" s="180"/>
      <c r="AR38" s="181"/>
      <c r="AS38" s="181"/>
      <c r="AT38" s="181"/>
      <c r="AU38" s="181"/>
      <c r="AV38" s="180"/>
      <c r="AW38" s="181"/>
      <c r="AX38" s="181"/>
      <c r="AY38" s="181"/>
      <c r="AZ38" s="181"/>
      <c r="BA38" s="180"/>
      <c r="BB38" s="181"/>
      <c r="BC38" s="181"/>
      <c r="BD38" s="181"/>
      <c r="BE38" s="181"/>
      <c r="BF38" s="180"/>
      <c r="BG38" s="181"/>
      <c r="BH38" s="181"/>
      <c r="BI38" s="181"/>
      <c r="BJ38" s="181"/>
      <c r="BK38" s="180"/>
      <c r="BL38" s="181"/>
      <c r="BM38" s="181"/>
      <c r="BN38" s="181"/>
      <c r="BO38" s="181"/>
      <c r="BP38" s="749" t="s">
        <v>208</v>
      </c>
      <c r="BQ38" s="181"/>
      <c r="BR38" s="181"/>
      <c r="BS38" s="181"/>
      <c r="BT38" s="181"/>
      <c r="BU38" s="140">
        <f>BU37/BP37-1</f>
        <v>0.24313545638225</v>
      </c>
      <c r="BV38" s="181"/>
      <c r="BW38" s="181"/>
      <c r="BX38" s="181"/>
      <c r="BY38" s="181"/>
      <c r="BZ38" s="140">
        <f t="shared" ref="BZ38:CO38" si="256">BZ37/BU37-1</f>
        <v>0.186250949936841</v>
      </c>
      <c r="CA38" s="141">
        <f t="shared" si="256"/>
        <v>-0.146842799871399</v>
      </c>
      <c r="CB38" s="141">
        <f t="shared" si="256"/>
        <v>0.0537376845391977</v>
      </c>
      <c r="CC38" s="141">
        <f t="shared" si="256"/>
        <v>0.217874448881924</v>
      </c>
      <c r="CD38" s="141">
        <f t="shared" si="256"/>
        <v>0.173458839288314</v>
      </c>
      <c r="CE38" s="140">
        <f t="shared" si="256"/>
        <v>0.0927657750975728</v>
      </c>
      <c r="CF38" s="141">
        <f t="shared" si="256"/>
        <v>0.768940253543002</v>
      </c>
      <c r="CG38" s="181">
        <f t="shared" si="256"/>
        <v>0.492277956600083</v>
      </c>
      <c r="CH38" s="141">
        <f t="shared" si="256"/>
        <v>0.243711061107702</v>
      </c>
      <c r="CI38" s="141">
        <f t="shared" si="256"/>
        <v>0.212593400730456</v>
      </c>
      <c r="CJ38" s="140">
        <f t="shared" si="256"/>
        <v>0.367832975835976</v>
      </c>
      <c r="CK38" s="141">
        <f t="shared" si="256"/>
        <v>0.263967892472739</v>
      </c>
      <c r="CL38" s="181">
        <f t="shared" si="256"/>
        <v>0.244269318056331</v>
      </c>
      <c r="CM38" s="141">
        <f t="shared" si="256"/>
        <v>0.223242350896287</v>
      </c>
      <c r="CN38" s="141">
        <f t="shared" si="256"/>
        <v>0.297609876817515</v>
      </c>
      <c r="CO38" s="140">
        <f t="shared" si="256"/>
        <v>0.260810899567137</v>
      </c>
      <c r="CP38" s="141">
        <f t="shared" ref="CP38:CW38" si="257">CP37/CK37-1</f>
        <v>0.218734286597562</v>
      </c>
      <c r="CQ38" s="141">
        <f t="shared" si="257"/>
        <v>0.158166312220272</v>
      </c>
      <c r="CR38" s="141">
        <f t="shared" si="257"/>
        <v>0.190143878622384</v>
      </c>
      <c r="CS38" s="141">
        <f t="shared" si="257"/>
        <v>0.13117097591089</v>
      </c>
      <c r="CT38" s="140">
        <f t="shared" si="257"/>
        <v>0.168745673554694</v>
      </c>
      <c r="CU38" s="141">
        <f t="shared" si="257"/>
        <v>0.0965848835752292</v>
      </c>
      <c r="CV38" s="141">
        <f t="shared" si="257"/>
        <v>0.0571456399539649</v>
      </c>
      <c r="CW38" s="141">
        <f t="shared" si="257"/>
        <v>0.0849129697676381</v>
      </c>
      <c r="CX38" s="141">
        <f t="shared" ref="CX38:CY38" si="258">CX37/CS37-1</f>
        <v>0.108197521274318</v>
      </c>
      <c r="CY38" s="140">
        <f t="shared" si="258"/>
        <v>0.0886977394567954</v>
      </c>
      <c r="CZ38" s="141">
        <f t="shared" ref="CZ38:DF38" si="259">CZ37/CU37-1</f>
        <v>0.0696266341332223</v>
      </c>
      <c r="DA38" s="141">
        <f t="shared" si="259"/>
        <v>0.0482345281992465</v>
      </c>
      <c r="DB38" s="141">
        <f t="shared" si="259"/>
        <v>0.0573804739516843</v>
      </c>
      <c r="DC38" s="141">
        <f t="shared" si="259"/>
        <v>0.0190233386143484</v>
      </c>
      <c r="DD38" s="140">
        <f t="shared" si="259"/>
        <v>0.0452340858526468</v>
      </c>
      <c r="DE38" s="141">
        <f t="shared" si="259"/>
        <v>0.0441729004958402</v>
      </c>
      <c r="DF38" s="141">
        <f t="shared" si="259"/>
        <v>-0.0381821225201493</v>
      </c>
      <c r="DG38" s="182"/>
      <c r="DH38" s="182"/>
      <c r="DI38" s="183"/>
      <c r="DJ38" s="182"/>
      <c r="DK38" s="182"/>
      <c r="DL38" s="182"/>
      <c r="DM38" s="182"/>
      <c r="DN38" s="183"/>
      <c r="DO38" s="182"/>
      <c r="DP38" s="182"/>
      <c r="DQ38" s="182"/>
      <c r="DR38" s="182"/>
      <c r="DS38" s="183"/>
    </row>
    <row r="39" s="88" customFormat="1" spans="2:123">
      <c r="B39" s="179" t="s">
        <v>299</v>
      </c>
      <c r="C39" s="124"/>
      <c r="D39" s="125"/>
      <c r="E39" s="125"/>
      <c r="F39" s="125"/>
      <c r="G39" s="125"/>
      <c r="H39" s="124"/>
      <c r="I39" s="125"/>
      <c r="J39" s="125"/>
      <c r="K39" s="125"/>
      <c r="L39" s="125"/>
      <c r="M39" s="124"/>
      <c r="N39" s="125"/>
      <c r="O39" s="125"/>
      <c r="P39" s="125"/>
      <c r="Q39" s="125"/>
      <c r="R39" s="124"/>
      <c r="S39" s="125"/>
      <c r="T39" s="125"/>
      <c r="U39" s="125"/>
      <c r="V39" s="125"/>
      <c r="W39" s="124"/>
      <c r="X39" s="125"/>
      <c r="Y39" s="125"/>
      <c r="Z39" s="125"/>
      <c r="AA39" s="125"/>
      <c r="AB39" s="124"/>
      <c r="AC39" s="125"/>
      <c r="AD39" s="125"/>
      <c r="AE39" s="125"/>
      <c r="AF39" s="125"/>
      <c r="AG39" s="124"/>
      <c r="AH39" s="125"/>
      <c r="AI39" s="125"/>
      <c r="AJ39" s="125"/>
      <c r="AK39" s="125"/>
      <c r="AL39" s="124"/>
      <c r="AM39" s="125"/>
      <c r="AN39" s="125"/>
      <c r="AO39" s="125"/>
      <c r="AP39" s="125"/>
      <c r="AQ39" s="124"/>
      <c r="AR39" s="125"/>
      <c r="AS39" s="125"/>
      <c r="AT39" s="125"/>
      <c r="AU39" s="125"/>
      <c r="AV39" s="124"/>
      <c r="AW39" s="125"/>
      <c r="AX39" s="125"/>
      <c r="AY39" s="125"/>
      <c r="AZ39" s="125"/>
      <c r="BA39" s="124"/>
      <c r="BB39" s="125"/>
      <c r="BC39" s="125"/>
      <c r="BD39" s="125"/>
      <c r="BE39" s="125"/>
      <c r="BF39" s="124"/>
      <c r="BG39" s="125"/>
      <c r="BH39" s="125"/>
      <c r="BI39" s="125"/>
      <c r="BJ39" s="125"/>
      <c r="BK39" s="124"/>
      <c r="BL39" s="125"/>
      <c r="BM39" s="125"/>
      <c r="BN39" s="125"/>
      <c r="BO39" s="125"/>
      <c r="BP39" s="124">
        <v>526.535</v>
      </c>
      <c r="BQ39" s="125"/>
      <c r="BR39" s="125"/>
      <c r="BS39" s="125"/>
      <c r="BT39" s="125"/>
      <c r="BU39" s="124">
        <v>694.921</v>
      </c>
      <c r="BV39" s="125">
        <v>170.219</v>
      </c>
      <c r="BW39" s="125">
        <v>212.727</v>
      </c>
      <c r="BX39" s="125">
        <v>209.317</v>
      </c>
      <c r="BY39" s="125">
        <f>BZ39-SUM(BV39:BX39)</f>
        <v>341.504</v>
      </c>
      <c r="BZ39" s="124">
        <v>933.767</v>
      </c>
      <c r="CA39" s="125">
        <v>129.129</v>
      </c>
      <c r="CB39" s="125">
        <v>191.019</v>
      </c>
      <c r="CC39" s="125">
        <v>239.496</v>
      </c>
      <c r="CD39" s="125">
        <f>CE39-SUM(CA39:CC39)</f>
        <v>393.539</v>
      </c>
      <c r="CE39" s="124">
        <v>953.183</v>
      </c>
      <c r="CF39" s="125">
        <v>247.307</v>
      </c>
      <c r="CG39" s="125">
        <v>363.063</v>
      </c>
      <c r="CH39" s="125">
        <v>343.263</v>
      </c>
      <c r="CI39" s="125">
        <f>CJ39-SUM(CF39:CH39)</f>
        <v>582.217</v>
      </c>
      <c r="CJ39" s="124">
        <v>1535.85</v>
      </c>
      <c r="CK39" s="125">
        <v>374.998</v>
      </c>
      <c r="CL39" s="125">
        <v>461.31</v>
      </c>
      <c r="CM39" s="172">
        <v>440.564</v>
      </c>
      <c r="CN39" s="125">
        <f>CO39-CM39-CL39-CK39</f>
        <v>679.73</v>
      </c>
      <c r="CO39" s="124">
        <v>1956.602</v>
      </c>
      <c r="CP39" s="128">
        <v>438.165</v>
      </c>
      <c r="CQ39" s="126">
        <v>530.723</v>
      </c>
      <c r="CR39" s="126">
        <v>504.828</v>
      </c>
      <c r="CS39" s="126">
        <f>CT39-SUM(CP39:CR39)</f>
        <v>779.037</v>
      </c>
      <c r="CT39" s="127">
        <v>2252.753</v>
      </c>
      <c r="CU39" s="126">
        <v>505.698</v>
      </c>
      <c r="CV39" s="126">
        <v>587.525</v>
      </c>
      <c r="CW39" s="126">
        <v>551.43</v>
      </c>
      <c r="CX39" s="126">
        <f>CY39-CU39-CV39-CW39</f>
        <v>913.727</v>
      </c>
      <c r="CY39" s="127">
        <v>2558.38</v>
      </c>
      <c r="CZ39" s="126">
        <v>544.788</v>
      </c>
      <c r="DA39" s="126">
        <v>624.598</v>
      </c>
      <c r="DB39" s="171">
        <v>596.241</v>
      </c>
      <c r="DC39" s="171">
        <f>DD39-CZ39-DA39-DB39</f>
        <v>898.359</v>
      </c>
      <c r="DD39" s="127">
        <v>2663.986</v>
      </c>
      <c r="DE39" s="171">
        <v>581.878</v>
      </c>
      <c r="DF39" s="171">
        <v>621.38</v>
      </c>
      <c r="DG39" s="125"/>
      <c r="DH39" s="125"/>
      <c r="DI39" s="124"/>
      <c r="DJ39" s="125"/>
      <c r="DK39" s="125"/>
      <c r="DL39" s="125"/>
      <c r="DM39" s="125"/>
      <c r="DN39" s="124"/>
      <c r="DO39" s="125"/>
      <c r="DP39" s="125"/>
      <c r="DQ39" s="125"/>
      <c r="DR39" s="125"/>
      <c r="DS39" s="124"/>
    </row>
    <row r="40" spans="2:123">
      <c r="B40" s="144" t="s">
        <v>69</v>
      </c>
      <c r="C40" s="180"/>
      <c r="D40" s="181"/>
      <c r="E40" s="181"/>
      <c r="F40" s="181"/>
      <c r="G40" s="181"/>
      <c r="H40" s="180"/>
      <c r="I40" s="181"/>
      <c r="J40" s="181"/>
      <c r="K40" s="181"/>
      <c r="L40" s="181"/>
      <c r="M40" s="180"/>
      <c r="N40" s="181"/>
      <c r="O40" s="181"/>
      <c r="P40" s="181"/>
      <c r="Q40" s="181"/>
      <c r="R40" s="180"/>
      <c r="S40" s="181"/>
      <c r="T40" s="181"/>
      <c r="U40" s="181"/>
      <c r="V40" s="181"/>
      <c r="W40" s="180"/>
      <c r="X40" s="181"/>
      <c r="Y40" s="181"/>
      <c r="Z40" s="181"/>
      <c r="AA40" s="181"/>
      <c r="AB40" s="180"/>
      <c r="AC40" s="181"/>
      <c r="AD40" s="181"/>
      <c r="AE40" s="181"/>
      <c r="AF40" s="181"/>
      <c r="AG40" s="180"/>
      <c r="AH40" s="181"/>
      <c r="AI40" s="181"/>
      <c r="AJ40" s="181"/>
      <c r="AK40" s="181"/>
      <c r="AL40" s="180"/>
      <c r="AM40" s="181"/>
      <c r="AN40" s="181"/>
      <c r="AO40" s="181"/>
      <c r="AP40" s="181"/>
      <c r="AQ40" s="180"/>
      <c r="AR40" s="181"/>
      <c r="AS40" s="181"/>
      <c r="AT40" s="181"/>
      <c r="AU40" s="181"/>
      <c r="AV40" s="180"/>
      <c r="AW40" s="181"/>
      <c r="AX40" s="181"/>
      <c r="AY40" s="181"/>
      <c r="AZ40" s="181"/>
      <c r="BA40" s="180"/>
      <c r="BB40" s="181"/>
      <c r="BC40" s="181"/>
      <c r="BD40" s="181"/>
      <c r="BE40" s="181"/>
      <c r="BF40" s="180"/>
      <c r="BG40" s="181"/>
      <c r="BH40" s="181"/>
      <c r="BI40" s="181"/>
      <c r="BJ40" s="181"/>
      <c r="BK40" s="180"/>
      <c r="BL40" s="181"/>
      <c r="BM40" s="181"/>
      <c r="BN40" s="181"/>
      <c r="BO40" s="181"/>
      <c r="BP40" s="749" t="s">
        <v>208</v>
      </c>
      <c r="BQ40" s="181"/>
      <c r="BR40" s="181"/>
      <c r="BS40" s="181"/>
      <c r="BT40" s="181"/>
      <c r="BU40" s="140">
        <f>BU39/BP39-1</f>
        <v>0.319800203215361</v>
      </c>
      <c r="BV40" s="181"/>
      <c r="BW40" s="181"/>
      <c r="BX40" s="181"/>
      <c r="BY40" s="181"/>
      <c r="BZ40" s="140">
        <f t="shared" ref="BZ40:CO40" si="260">BZ39/BU39-1</f>
        <v>0.343702377680341</v>
      </c>
      <c r="CA40" s="141">
        <f t="shared" si="260"/>
        <v>-0.241394908911461</v>
      </c>
      <c r="CB40" s="141">
        <f t="shared" si="260"/>
        <v>-0.102046284674724</v>
      </c>
      <c r="CC40" s="141">
        <f t="shared" si="260"/>
        <v>0.144178447044435</v>
      </c>
      <c r="CD40" s="141">
        <f t="shared" si="260"/>
        <v>0.152370104010495</v>
      </c>
      <c r="CE40" s="140">
        <f t="shared" si="260"/>
        <v>0.0207931957329826</v>
      </c>
      <c r="CF40" s="141">
        <f t="shared" si="260"/>
        <v>0.915193333797985</v>
      </c>
      <c r="CG40" s="181">
        <f t="shared" si="260"/>
        <v>0.900664331820395</v>
      </c>
      <c r="CH40" s="141">
        <f t="shared" si="260"/>
        <v>0.43327237198116</v>
      </c>
      <c r="CI40" s="141">
        <f t="shared" si="260"/>
        <v>0.479439140720487</v>
      </c>
      <c r="CJ40" s="140">
        <f t="shared" si="260"/>
        <v>0.611285555869125</v>
      </c>
      <c r="CK40" s="141">
        <f t="shared" si="260"/>
        <v>0.516325862187484</v>
      </c>
      <c r="CL40" s="181">
        <f t="shared" si="260"/>
        <v>0.270605927896811</v>
      </c>
      <c r="CM40" s="141">
        <f t="shared" si="260"/>
        <v>0.283459038696277</v>
      </c>
      <c r="CN40" s="141">
        <f t="shared" si="260"/>
        <v>0.167485662562241</v>
      </c>
      <c r="CO40" s="140">
        <f t="shared" si="260"/>
        <v>0.273953836637693</v>
      </c>
      <c r="CP40" s="141">
        <f t="shared" ref="CP40:CW40" si="261">CP39/CK39-1</f>
        <v>0.168446231713236</v>
      </c>
      <c r="CQ40" s="141">
        <f t="shared" si="261"/>
        <v>0.150469315644577</v>
      </c>
      <c r="CR40" s="141">
        <f t="shared" si="261"/>
        <v>0.1458675697515</v>
      </c>
      <c r="CS40" s="141">
        <f t="shared" si="261"/>
        <v>0.146097715269298</v>
      </c>
      <c r="CT40" s="140">
        <f t="shared" si="261"/>
        <v>0.151359857548955</v>
      </c>
      <c r="CU40" s="141">
        <f t="shared" si="261"/>
        <v>0.15412687001472</v>
      </c>
      <c r="CV40" s="141">
        <f t="shared" si="261"/>
        <v>0.107027583127168</v>
      </c>
      <c r="CW40" s="141">
        <f t="shared" si="261"/>
        <v>0.0923126292519432</v>
      </c>
      <c r="CX40" s="141">
        <f t="shared" ref="CX40:CY40" si="262">CX39/CS39-1</f>
        <v>0.172892943467383</v>
      </c>
      <c r="CY40" s="140">
        <f t="shared" si="262"/>
        <v>0.135668224612286</v>
      </c>
      <c r="CZ40" s="141">
        <f t="shared" ref="CZ40:DF40" si="263">CZ39/CU39-1</f>
        <v>0.0772990994625251</v>
      </c>
      <c r="DA40" s="141">
        <f t="shared" si="263"/>
        <v>0.0631002936045275</v>
      </c>
      <c r="DB40" s="141">
        <f t="shared" si="263"/>
        <v>0.081263260976008</v>
      </c>
      <c r="DC40" s="141">
        <f t="shared" si="263"/>
        <v>-0.0168190280028939</v>
      </c>
      <c r="DD40" s="140">
        <f t="shared" si="263"/>
        <v>0.0412784652788092</v>
      </c>
      <c r="DE40" s="141">
        <f t="shared" si="263"/>
        <v>0.0680815289617247</v>
      </c>
      <c r="DF40" s="141">
        <f t="shared" si="263"/>
        <v>-0.00515211383962155</v>
      </c>
      <c r="DG40" s="182"/>
      <c r="DH40" s="182"/>
      <c r="DI40" s="183"/>
      <c r="DJ40" s="182"/>
      <c r="DK40" s="182"/>
      <c r="DL40" s="182"/>
      <c r="DM40" s="182"/>
      <c r="DN40" s="183"/>
      <c r="DO40" s="182"/>
      <c r="DP40" s="182"/>
      <c r="DQ40" s="182"/>
      <c r="DR40" s="182"/>
      <c r="DS40" s="183"/>
    </row>
    <row r="41" s="88" customFormat="1" spans="2:123">
      <c r="B41" s="179" t="s">
        <v>55</v>
      </c>
      <c r="C41" s="124"/>
      <c r="D41" s="125"/>
      <c r="E41" s="125"/>
      <c r="F41" s="125"/>
      <c r="G41" s="125"/>
      <c r="H41" s="124"/>
      <c r="I41" s="125"/>
      <c r="J41" s="125"/>
      <c r="K41" s="125"/>
      <c r="L41" s="125"/>
      <c r="M41" s="124"/>
      <c r="N41" s="125"/>
      <c r="O41" s="125"/>
      <c r="P41" s="125"/>
      <c r="Q41" s="125"/>
      <c r="R41" s="124"/>
      <c r="S41" s="125"/>
      <c r="T41" s="125"/>
      <c r="U41" s="125"/>
      <c r="V41" s="125"/>
      <c r="W41" s="124"/>
      <c r="X41" s="125"/>
      <c r="Y41" s="125"/>
      <c r="Z41" s="125"/>
      <c r="AA41" s="125"/>
      <c r="AB41" s="124"/>
      <c r="AC41" s="125"/>
      <c r="AD41" s="125"/>
      <c r="AE41" s="125"/>
      <c r="AF41" s="125"/>
      <c r="AG41" s="124"/>
      <c r="AH41" s="125"/>
      <c r="AI41" s="125"/>
      <c r="AJ41" s="125"/>
      <c r="AK41" s="125"/>
      <c r="AL41" s="124"/>
      <c r="AM41" s="125"/>
      <c r="AN41" s="125"/>
      <c r="AO41" s="125"/>
      <c r="AP41" s="125"/>
      <c r="AQ41" s="124"/>
      <c r="AR41" s="125"/>
      <c r="AS41" s="125"/>
      <c r="AT41" s="125"/>
      <c r="AU41" s="125"/>
      <c r="AV41" s="124"/>
      <c r="AW41" s="125"/>
      <c r="AX41" s="125"/>
      <c r="AY41" s="125"/>
      <c r="AZ41" s="125"/>
      <c r="BA41" s="124"/>
      <c r="BB41" s="125"/>
      <c r="BC41" s="125"/>
      <c r="BD41" s="125"/>
      <c r="BE41" s="125"/>
      <c r="BF41" s="124"/>
      <c r="BG41" s="125"/>
      <c r="BH41" s="125"/>
      <c r="BI41" s="125"/>
      <c r="BJ41" s="125"/>
      <c r="BK41" s="124"/>
      <c r="BL41" s="125"/>
      <c r="BM41" s="125"/>
      <c r="BN41" s="125"/>
      <c r="BO41" s="125"/>
      <c r="BP41" s="124">
        <v>230.022</v>
      </c>
      <c r="BQ41" s="125"/>
      <c r="BR41" s="125"/>
      <c r="BS41" s="125"/>
      <c r="BT41" s="125"/>
      <c r="BU41" s="124">
        <v>240.61</v>
      </c>
      <c r="BV41" s="125">
        <v>49.113</v>
      </c>
      <c r="BW41" s="125">
        <v>54.428</v>
      </c>
      <c r="BX41" s="125">
        <v>56.498</v>
      </c>
      <c r="BY41" s="125">
        <f>BZ41-SUM(BV41:BX41)</f>
        <v>94.493</v>
      </c>
      <c r="BZ41" s="124">
        <v>254.532</v>
      </c>
      <c r="CA41" s="125">
        <v>42.52</v>
      </c>
      <c r="CB41" s="125">
        <v>62.613</v>
      </c>
      <c r="CC41" s="125">
        <v>85.984</v>
      </c>
      <c r="CD41" s="125">
        <f>CE41-SUM(CA41:CC41)</f>
        <v>207.673</v>
      </c>
      <c r="CE41" s="124">
        <v>398.79</v>
      </c>
      <c r="CF41" s="125">
        <v>102.513</v>
      </c>
      <c r="CG41" s="125">
        <v>118.604</v>
      </c>
      <c r="CH41" s="125">
        <v>122.206</v>
      </c>
      <c r="CI41" s="125">
        <f>CJ41-SUM(CF41:CH41)</f>
        <v>205.682</v>
      </c>
      <c r="CJ41" s="124">
        <v>549.005</v>
      </c>
      <c r="CK41" s="125">
        <v>164.541</v>
      </c>
      <c r="CL41" s="125">
        <v>201.382</v>
      </c>
      <c r="CM41" s="172">
        <v>211.49</v>
      </c>
      <c r="CN41" s="125">
        <f>CO41-CM41-CL41-CK41</f>
        <v>316.7</v>
      </c>
      <c r="CO41" s="124">
        <v>894.113</v>
      </c>
      <c r="CP41" s="128">
        <v>253.799</v>
      </c>
      <c r="CQ41" s="126">
        <v>282.115</v>
      </c>
      <c r="CR41" s="126">
        <v>265.463</v>
      </c>
      <c r="CS41" s="126">
        <f>CT41-SUM(CP41:CR41)</f>
        <v>417.776</v>
      </c>
      <c r="CT41" s="127">
        <v>1219.153</v>
      </c>
      <c r="CU41" s="126">
        <v>267.952</v>
      </c>
      <c r="CV41" s="126">
        <v>307.432</v>
      </c>
      <c r="CW41" s="126">
        <v>289.544</v>
      </c>
      <c r="CX41" s="126">
        <f>CY41-CU41-CV41-CW41</f>
        <v>472.188</v>
      </c>
      <c r="CY41" s="127">
        <v>1337.116</v>
      </c>
      <c r="CZ41" s="126">
        <v>290.7</v>
      </c>
      <c r="DA41" s="126">
        <v>353.3</v>
      </c>
      <c r="DB41" s="171">
        <v>324.727</v>
      </c>
      <c r="DC41" s="171">
        <f>DD41-CZ41-DA41-DB41</f>
        <v>474.522</v>
      </c>
      <c r="DD41" s="127">
        <v>1443.249</v>
      </c>
      <c r="DE41" s="171">
        <v>286.74</v>
      </c>
      <c r="DF41" s="171">
        <v>306.01</v>
      </c>
      <c r="DG41" s="125"/>
      <c r="DH41" s="125"/>
      <c r="DI41" s="124"/>
      <c r="DJ41" s="125"/>
      <c r="DK41" s="125"/>
      <c r="DL41" s="125"/>
      <c r="DM41" s="125"/>
      <c r="DN41" s="124"/>
      <c r="DO41" s="125"/>
      <c r="DP41" s="125"/>
      <c r="DQ41" s="125"/>
      <c r="DR41" s="125"/>
      <c r="DS41" s="124"/>
    </row>
    <row r="42" spans="2:123">
      <c r="B42" s="144" t="s">
        <v>69</v>
      </c>
      <c r="C42" s="180"/>
      <c r="D42" s="181"/>
      <c r="E42" s="181"/>
      <c r="F42" s="181"/>
      <c r="G42" s="181"/>
      <c r="H42" s="180"/>
      <c r="I42" s="181"/>
      <c r="J42" s="181"/>
      <c r="K42" s="181"/>
      <c r="L42" s="181"/>
      <c r="M42" s="180"/>
      <c r="N42" s="181"/>
      <c r="O42" s="181"/>
      <c r="P42" s="181"/>
      <c r="Q42" s="181"/>
      <c r="R42" s="180"/>
      <c r="S42" s="181"/>
      <c r="T42" s="181"/>
      <c r="U42" s="181"/>
      <c r="V42" s="181"/>
      <c r="W42" s="180"/>
      <c r="X42" s="181"/>
      <c r="Y42" s="181"/>
      <c r="Z42" s="181"/>
      <c r="AA42" s="181"/>
      <c r="AB42" s="180"/>
      <c r="AC42" s="181"/>
      <c r="AD42" s="181"/>
      <c r="AE42" s="181"/>
      <c r="AF42" s="181"/>
      <c r="AG42" s="180"/>
      <c r="AH42" s="181"/>
      <c r="AI42" s="181"/>
      <c r="AJ42" s="181"/>
      <c r="AK42" s="181"/>
      <c r="AL42" s="180"/>
      <c r="AM42" s="181"/>
      <c r="AN42" s="181"/>
      <c r="AO42" s="181"/>
      <c r="AP42" s="181"/>
      <c r="AQ42" s="180"/>
      <c r="AR42" s="181"/>
      <c r="AS42" s="181"/>
      <c r="AT42" s="181"/>
      <c r="AU42" s="181"/>
      <c r="AV42" s="180"/>
      <c r="AW42" s="181"/>
      <c r="AX42" s="181"/>
      <c r="AY42" s="181"/>
      <c r="AZ42" s="181"/>
      <c r="BA42" s="180"/>
      <c r="BB42" s="181"/>
      <c r="BC42" s="181"/>
      <c r="BD42" s="181"/>
      <c r="BE42" s="181"/>
      <c r="BF42" s="180"/>
      <c r="BG42" s="181"/>
      <c r="BH42" s="181"/>
      <c r="BI42" s="181"/>
      <c r="BJ42" s="181"/>
      <c r="BK42" s="180"/>
      <c r="BL42" s="181"/>
      <c r="BM42" s="181"/>
      <c r="BN42" s="181"/>
      <c r="BO42" s="181"/>
      <c r="BP42" s="749" t="s">
        <v>208</v>
      </c>
      <c r="BQ42" s="181"/>
      <c r="BR42" s="181"/>
      <c r="BS42" s="181"/>
      <c r="BT42" s="181"/>
      <c r="BU42" s="140">
        <f>BU41/BP41-1</f>
        <v>0.0460303797028112</v>
      </c>
      <c r="BV42" s="181"/>
      <c r="BW42" s="181"/>
      <c r="BX42" s="181"/>
      <c r="BY42" s="181"/>
      <c r="BZ42" s="140">
        <f t="shared" ref="BZ42:CO42" si="264">BZ41/BU41-1</f>
        <v>0.0578612692739287</v>
      </c>
      <c r="CA42" s="141">
        <f t="shared" si="264"/>
        <v>-0.134241443202411</v>
      </c>
      <c r="CB42" s="141">
        <f t="shared" si="264"/>
        <v>0.15038215624311</v>
      </c>
      <c r="CC42" s="141">
        <f t="shared" si="264"/>
        <v>0.521894580339127</v>
      </c>
      <c r="CD42" s="141">
        <f t="shared" si="264"/>
        <v>1.19776068068534</v>
      </c>
      <c r="CE42" s="140">
        <f t="shared" si="264"/>
        <v>0.566757814341615</v>
      </c>
      <c r="CF42" s="141">
        <f t="shared" si="264"/>
        <v>1.41093603010348</v>
      </c>
      <c r="CG42" s="181">
        <f t="shared" si="264"/>
        <v>0.894239215498379</v>
      </c>
      <c r="CH42" s="141">
        <f t="shared" si="264"/>
        <v>0.421264421287681</v>
      </c>
      <c r="CI42" s="141">
        <f t="shared" si="264"/>
        <v>-0.00958718754965759</v>
      </c>
      <c r="CJ42" s="140">
        <f t="shared" si="264"/>
        <v>0.376676947766995</v>
      </c>
      <c r="CK42" s="141">
        <f t="shared" si="264"/>
        <v>0.605074478358842</v>
      </c>
      <c r="CL42" s="181">
        <f t="shared" si="264"/>
        <v>0.697935988668173</v>
      </c>
      <c r="CM42" s="141">
        <f t="shared" si="264"/>
        <v>0.730602425412828</v>
      </c>
      <c r="CN42" s="141">
        <f t="shared" si="264"/>
        <v>0.539755544967475</v>
      </c>
      <c r="CO42" s="140">
        <f t="shared" si="264"/>
        <v>0.628606296846113</v>
      </c>
      <c r="CP42" s="141">
        <f t="shared" ref="CP42:CW42" si="265">CP41/CK41-1</f>
        <v>0.542466619262068</v>
      </c>
      <c r="CQ42" s="141">
        <f t="shared" si="265"/>
        <v>0.400894816815803</v>
      </c>
      <c r="CR42" s="141">
        <f t="shared" si="265"/>
        <v>0.255203555723675</v>
      </c>
      <c r="CS42" s="141">
        <f t="shared" si="265"/>
        <v>0.319153773287022</v>
      </c>
      <c r="CT42" s="140">
        <f t="shared" si="265"/>
        <v>0.363533468364737</v>
      </c>
      <c r="CU42" s="141">
        <f t="shared" si="265"/>
        <v>0.0557646011213597</v>
      </c>
      <c r="CV42" s="141">
        <f t="shared" si="265"/>
        <v>0.0897399996455346</v>
      </c>
      <c r="CW42" s="141">
        <f t="shared" si="265"/>
        <v>0.0907132067369085</v>
      </c>
      <c r="CX42" s="141">
        <f t="shared" ref="CX42:CY42" si="266">CX41/CS41-1</f>
        <v>0.130242043583164</v>
      </c>
      <c r="CY42" s="140">
        <f t="shared" si="266"/>
        <v>0.0967581591481954</v>
      </c>
      <c r="CZ42" s="141">
        <f t="shared" ref="CZ42:DF42" si="267">CZ41/CU41-1</f>
        <v>0.0848958022332358</v>
      </c>
      <c r="DA42" s="141">
        <f t="shared" si="267"/>
        <v>0.149197220848838</v>
      </c>
      <c r="DB42" s="141">
        <f t="shared" si="267"/>
        <v>0.121511756416987</v>
      </c>
      <c r="DC42" s="141">
        <f t="shared" si="267"/>
        <v>0.00494294645353133</v>
      </c>
      <c r="DD42" s="140">
        <f t="shared" si="267"/>
        <v>0.0793745643609081</v>
      </c>
      <c r="DE42" s="141">
        <f t="shared" si="267"/>
        <v>-0.0136222910216718</v>
      </c>
      <c r="DF42" s="141">
        <f t="shared" si="267"/>
        <v>-0.133852250212284</v>
      </c>
      <c r="DG42" s="182"/>
      <c r="DH42" s="182"/>
      <c r="DI42" s="183"/>
      <c r="DJ42" s="182"/>
      <c r="DK42" s="182"/>
      <c r="DL42" s="182"/>
      <c r="DM42" s="182"/>
      <c r="DN42" s="183"/>
      <c r="DO42" s="182"/>
      <c r="DP42" s="182"/>
      <c r="DQ42" s="182"/>
      <c r="DR42" s="182"/>
      <c r="DS42" s="183"/>
    </row>
    <row r="43" s="89" customFormat="1" spans="2:123">
      <c r="B43" s="175" t="s">
        <v>56</v>
      </c>
      <c r="C43" s="131"/>
      <c r="D43" s="132"/>
      <c r="E43" s="132"/>
      <c r="F43" s="132"/>
      <c r="G43" s="132"/>
      <c r="H43" s="131"/>
      <c r="I43" s="132"/>
      <c r="J43" s="132"/>
      <c r="K43" s="132"/>
      <c r="L43" s="132"/>
      <c r="M43" s="131"/>
      <c r="N43" s="132"/>
      <c r="O43" s="132"/>
      <c r="P43" s="132"/>
      <c r="Q43" s="132"/>
      <c r="R43" s="131"/>
      <c r="S43" s="132"/>
      <c r="T43" s="132"/>
      <c r="U43" s="132"/>
      <c r="V43" s="132"/>
      <c r="W43" s="131"/>
      <c r="X43" s="132"/>
      <c r="Y43" s="132"/>
      <c r="Z43" s="132"/>
      <c r="AA43" s="132"/>
      <c r="AB43" s="131"/>
      <c r="AC43" s="132"/>
      <c r="AD43" s="132"/>
      <c r="AE43" s="132"/>
      <c r="AF43" s="132"/>
      <c r="AG43" s="131"/>
      <c r="AH43" s="132"/>
      <c r="AI43" s="132"/>
      <c r="AJ43" s="132"/>
      <c r="AK43" s="132"/>
      <c r="AL43" s="131"/>
      <c r="AM43" s="132"/>
      <c r="AN43" s="132"/>
      <c r="AO43" s="132"/>
      <c r="AP43" s="132"/>
      <c r="AQ43" s="131"/>
      <c r="AR43" s="132"/>
      <c r="AS43" s="132"/>
      <c r="AT43" s="132"/>
      <c r="AU43" s="132"/>
      <c r="AV43" s="131"/>
      <c r="AW43" s="132"/>
      <c r="AX43" s="132"/>
      <c r="AY43" s="132"/>
      <c r="AZ43" s="132"/>
      <c r="BA43" s="131"/>
      <c r="BB43" s="132"/>
      <c r="BC43" s="132"/>
      <c r="BD43" s="132"/>
      <c r="BE43" s="132"/>
      <c r="BF43" s="131"/>
      <c r="BG43" s="132"/>
      <c r="BH43" s="132"/>
      <c r="BI43" s="132"/>
      <c r="BJ43" s="132"/>
      <c r="BK43" s="131"/>
      <c r="BL43" s="132"/>
      <c r="BM43" s="132"/>
      <c r="BN43" s="132"/>
      <c r="BO43" s="132"/>
      <c r="BP43" s="131">
        <f>SUM(BP41,BP39,BP37)</f>
        <v>2649.181</v>
      </c>
      <c r="BQ43" s="132"/>
      <c r="BR43" s="132"/>
      <c r="BS43" s="132"/>
      <c r="BT43" s="132"/>
      <c r="BU43" s="131">
        <f>SUM(BU41,BU39,BU37)</f>
        <v>3288.319</v>
      </c>
      <c r="BV43" s="132">
        <f>BV41+BV39+BV37</f>
        <v>782.315</v>
      </c>
      <c r="BW43" s="132">
        <f>BW41+BW39+BW37</f>
        <v>883.352</v>
      </c>
      <c r="BX43" s="132">
        <f>BX41+BX39+BX37</f>
        <v>916.084</v>
      </c>
      <c r="BY43" s="132">
        <f>BZ43-SUM(BV43:BX43)</f>
        <v>1397.545</v>
      </c>
      <c r="BZ43" s="131">
        <f>SUM(BZ41,BZ39,BZ37)</f>
        <v>3979.296</v>
      </c>
      <c r="CA43" s="132">
        <f>CA41+CA39+CA37</f>
        <v>651.962</v>
      </c>
      <c r="CB43" s="132">
        <f>CB41+CB39+CB37</f>
        <v>902.942</v>
      </c>
      <c r="CC43" s="132">
        <f>CC41+CC39+CC37</f>
        <v>1117.426</v>
      </c>
      <c r="CD43" s="132">
        <f>CD41+CD39+CD37</f>
        <v>1729.549</v>
      </c>
      <c r="CE43" s="131">
        <f>SUM(CE41,CE39,CE37)</f>
        <v>4401.879</v>
      </c>
      <c r="CF43" s="132">
        <f>CF41+CF39+CF37</f>
        <v>1199.465</v>
      </c>
      <c r="CG43" s="132">
        <f>CG41+CG39+CG37</f>
        <v>1450.618</v>
      </c>
      <c r="CH43" s="132">
        <f>CH41+CH39+CH37</f>
        <v>1450.421</v>
      </c>
      <c r="CI43" s="132">
        <f>CI41+CI39+CI37</f>
        <v>2156.113</v>
      </c>
      <c r="CJ43" s="131">
        <f>SUM(CJ41,CJ39,CJ37)</f>
        <v>6256.617</v>
      </c>
      <c r="CK43" s="132">
        <f>CK41+CK39+CK37</f>
        <v>1613.463</v>
      </c>
      <c r="CL43" s="132">
        <f>CL41+CL39+CL37</f>
        <v>1868.328</v>
      </c>
      <c r="CM43" s="132">
        <f>CM41+CM39+CM37</f>
        <v>1856.889</v>
      </c>
      <c r="CN43" s="132">
        <f>CN41+CN39+CN37</f>
        <v>2771.838</v>
      </c>
      <c r="CO43" s="131">
        <f>SUM(CO41,CO39,CO37)</f>
        <v>8110.518</v>
      </c>
      <c r="CP43" s="133">
        <f>CP41+CP39+CP37</f>
        <v>2000.792</v>
      </c>
      <c r="CQ43" s="133">
        <f>CQ41+CQ39+CQ37</f>
        <v>2209.165</v>
      </c>
      <c r="CR43" s="133">
        <f>CR41+CR39+CR37</f>
        <v>2204.218</v>
      </c>
      <c r="CS43" s="133">
        <f>CS41+CS39+CS37</f>
        <v>3205.103</v>
      </c>
      <c r="CT43" s="134">
        <f>SUM(CT41,CT39,CT37)</f>
        <v>9619.278</v>
      </c>
      <c r="CU43" s="133">
        <f>CU41+CU39+CU37</f>
        <v>2208.891</v>
      </c>
      <c r="CV43" s="133">
        <f>CV41+CV39+CV37</f>
        <v>2371.078</v>
      </c>
      <c r="CW43" s="133">
        <f>CW41+CW39+CW37</f>
        <v>2396.66</v>
      </c>
      <c r="CX43" s="133">
        <f>CX41+CX39+CX37</f>
        <v>3611.497</v>
      </c>
      <c r="CY43" s="134">
        <f>SUM(CY41,CY39,CY37)</f>
        <v>10588.126</v>
      </c>
      <c r="CZ43" s="133">
        <f>CZ41+CZ39+CZ37</f>
        <v>2370.66</v>
      </c>
      <c r="DA43" s="133">
        <f>DA41+DA39+DA37</f>
        <v>2525.219</v>
      </c>
      <c r="DB43" s="133">
        <f>DB41+DB39+DB37</f>
        <v>2565.92</v>
      </c>
      <c r="DC43" s="133">
        <f>DC41+DC39+DC37</f>
        <v>3640.801</v>
      </c>
      <c r="DD43" s="134">
        <f>SUM(DD41,DD39,DD37)</f>
        <v>11102.6</v>
      </c>
      <c r="DE43" s="133">
        <f>DE41+DE39+DE37</f>
        <v>2471.603</v>
      </c>
      <c r="DF43" s="133">
        <f>DF41+DF39+DF37</f>
        <v>2415.631</v>
      </c>
      <c r="DG43" s="132"/>
      <c r="DH43" s="132"/>
      <c r="DI43" s="131"/>
      <c r="DJ43" s="132"/>
      <c r="DK43" s="132"/>
      <c r="DL43" s="132"/>
      <c r="DM43" s="132"/>
      <c r="DN43" s="131"/>
      <c r="DO43" s="132"/>
      <c r="DP43" s="132"/>
      <c r="DQ43" s="132"/>
      <c r="DR43" s="132"/>
      <c r="DS43" s="131"/>
    </row>
    <row r="44" spans="2:123">
      <c r="B44" s="33"/>
      <c r="C44" s="183"/>
      <c r="D44" s="182"/>
      <c r="E44" s="182"/>
      <c r="F44" s="182"/>
      <c r="G44" s="182"/>
      <c r="H44" s="183"/>
      <c r="I44" s="182"/>
      <c r="J44" s="182"/>
      <c r="K44" s="182"/>
      <c r="L44" s="182"/>
      <c r="M44" s="183"/>
      <c r="N44" s="182"/>
      <c r="O44" s="182"/>
      <c r="P44" s="182"/>
      <c r="Q44" s="182"/>
      <c r="R44" s="183"/>
      <c r="S44" s="182"/>
      <c r="T44" s="182"/>
      <c r="U44" s="182"/>
      <c r="V44" s="182"/>
      <c r="W44" s="183"/>
      <c r="X44" s="182"/>
      <c r="Y44" s="182"/>
      <c r="Z44" s="182"/>
      <c r="AA44" s="182"/>
      <c r="AB44" s="183"/>
      <c r="AC44" s="182"/>
      <c r="AD44" s="182"/>
      <c r="AE44" s="182"/>
      <c r="AF44" s="182"/>
      <c r="AG44" s="183"/>
      <c r="AH44" s="182"/>
      <c r="AI44" s="182"/>
      <c r="AJ44" s="182"/>
      <c r="AK44" s="182"/>
      <c r="AL44" s="183"/>
      <c r="AM44" s="182"/>
      <c r="AN44" s="182"/>
      <c r="AO44" s="182"/>
      <c r="AP44" s="182"/>
      <c r="AQ44" s="183"/>
      <c r="AR44" s="182"/>
      <c r="AS44" s="182"/>
      <c r="AT44" s="182"/>
      <c r="AU44" s="182"/>
      <c r="AV44" s="183"/>
      <c r="AW44" s="182"/>
      <c r="AX44" s="182"/>
      <c r="AY44" s="182"/>
      <c r="AZ44" s="182"/>
      <c r="BA44" s="183"/>
      <c r="BB44" s="182"/>
      <c r="BC44" s="182"/>
      <c r="BD44" s="182"/>
      <c r="BE44" s="182"/>
      <c r="BF44" s="183"/>
      <c r="BG44" s="182"/>
      <c r="BH44" s="182"/>
      <c r="BI44" s="182"/>
      <c r="BJ44" s="182"/>
      <c r="BK44" s="183"/>
      <c r="BL44" s="182"/>
      <c r="BM44" s="182"/>
      <c r="BN44" s="182"/>
      <c r="BO44" s="182"/>
      <c r="BP44" s="183"/>
      <c r="BQ44" s="182"/>
      <c r="BR44" s="182"/>
      <c r="BS44" s="182"/>
      <c r="BT44" s="182"/>
      <c r="BU44" s="183"/>
      <c r="BV44" s="182"/>
      <c r="BW44" s="182"/>
      <c r="BX44" s="182"/>
      <c r="BY44" s="182"/>
      <c r="BZ44" s="183"/>
      <c r="CA44" s="182"/>
      <c r="CB44" s="182"/>
      <c r="CC44" s="182"/>
      <c r="CD44" s="182"/>
      <c r="CE44" s="183"/>
      <c r="CF44" s="182"/>
      <c r="CG44" s="182"/>
      <c r="CH44" s="182"/>
      <c r="CI44" s="182"/>
      <c r="CJ44" s="183"/>
      <c r="CK44" s="182"/>
      <c r="CL44" s="182"/>
      <c r="CM44" s="182"/>
      <c r="CN44" s="182"/>
      <c r="CO44" s="183"/>
      <c r="CP44" s="182"/>
      <c r="CQ44" s="182"/>
      <c r="CR44" s="182"/>
      <c r="CS44" s="182"/>
      <c r="CT44" s="183"/>
      <c r="CU44" s="182"/>
      <c r="CV44" s="182"/>
      <c r="CW44" s="182"/>
      <c r="CX44" s="182"/>
      <c r="CY44" s="183"/>
      <c r="CZ44" s="182"/>
      <c r="DA44" s="182"/>
      <c r="DB44" s="182"/>
      <c r="DC44" s="182"/>
      <c r="DD44" s="183"/>
      <c r="DE44" s="182"/>
      <c r="DF44" s="182"/>
      <c r="DG44" s="182"/>
      <c r="DH44" s="182"/>
      <c r="DI44" s="183"/>
      <c r="DJ44" s="182"/>
      <c r="DK44" s="182"/>
      <c r="DL44" s="182"/>
      <c r="DM44" s="182"/>
      <c r="DN44" s="183"/>
      <c r="DO44" s="182"/>
      <c r="DP44" s="182"/>
      <c r="DQ44" s="182"/>
      <c r="DR44" s="182"/>
      <c r="DS44" s="183"/>
    </row>
    <row r="45" spans="2:123">
      <c r="B45" s="184" t="s">
        <v>300</v>
      </c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5"/>
      <c r="BQ45" s="185"/>
      <c r="BR45" s="185"/>
      <c r="BS45" s="185"/>
      <c r="BT45" s="185"/>
      <c r="BU45" s="185"/>
      <c r="BV45" s="185"/>
      <c r="BW45" s="185"/>
      <c r="BX45" s="185"/>
      <c r="BY45" s="185"/>
      <c r="BZ45" s="185"/>
      <c r="CA45" s="185"/>
      <c r="CB45" s="185"/>
      <c r="CC45" s="185"/>
      <c r="CD45" s="185"/>
      <c r="CE45" s="185"/>
      <c r="CF45" s="185"/>
      <c r="CG45" s="185"/>
      <c r="CH45" s="185"/>
      <c r="CI45" s="185"/>
      <c r="CJ45" s="185"/>
      <c r="CK45" s="185"/>
      <c r="CL45" s="185"/>
      <c r="CM45" s="185"/>
      <c r="CN45" s="185"/>
      <c r="CO45" s="185"/>
      <c r="CP45" s="185"/>
      <c r="CQ45" s="185"/>
      <c r="CR45" s="185"/>
      <c r="CS45" s="185"/>
      <c r="CT45" s="185"/>
      <c r="CU45" s="185"/>
      <c r="CV45" s="185"/>
      <c r="CW45" s="185"/>
      <c r="CX45" s="185"/>
      <c r="CY45" s="185"/>
      <c r="CZ45" s="185"/>
      <c r="DA45" s="185"/>
      <c r="DB45" s="185"/>
      <c r="DC45" s="185"/>
      <c r="DD45" s="185"/>
      <c r="DE45" s="185"/>
      <c r="DF45" s="185"/>
      <c r="DG45" s="185"/>
      <c r="DH45" s="185"/>
      <c r="DI45" s="185"/>
      <c r="DJ45" s="185"/>
      <c r="DK45" s="185"/>
      <c r="DL45" s="185"/>
      <c r="DM45" s="185"/>
      <c r="DN45" s="185"/>
      <c r="DO45" s="185"/>
      <c r="DP45" s="185"/>
      <c r="DQ45" s="185"/>
      <c r="DR45" s="185"/>
      <c r="DS45" s="186"/>
    </row>
    <row r="46" spans="2:123">
      <c r="B46" s="33"/>
      <c r="C46" s="119"/>
      <c r="D46" s="120"/>
      <c r="E46" s="120"/>
      <c r="F46" s="120"/>
      <c r="G46" s="120"/>
      <c r="H46" s="119"/>
      <c r="I46" s="120"/>
      <c r="J46" s="120"/>
      <c r="K46" s="120"/>
      <c r="L46" s="120"/>
      <c r="M46" s="119"/>
      <c r="N46" s="120"/>
      <c r="O46" s="120"/>
      <c r="P46" s="120"/>
      <c r="Q46" s="120"/>
      <c r="R46" s="119"/>
      <c r="S46" s="120"/>
      <c r="T46" s="120"/>
      <c r="U46" s="120"/>
      <c r="V46" s="120"/>
      <c r="W46" s="119"/>
      <c r="X46" s="120"/>
      <c r="Y46" s="120"/>
      <c r="Z46" s="120"/>
      <c r="AA46" s="120"/>
      <c r="AB46" s="119"/>
      <c r="AC46" s="120"/>
      <c r="AD46" s="120"/>
      <c r="AE46" s="120"/>
      <c r="AF46" s="120"/>
      <c r="AG46" s="119"/>
      <c r="AH46" s="120"/>
      <c r="AI46" s="120"/>
      <c r="AJ46" s="120"/>
      <c r="AK46" s="120"/>
      <c r="AL46" s="119"/>
      <c r="AM46" s="120"/>
      <c r="AN46" s="120"/>
      <c r="AO46" s="120"/>
      <c r="AP46" s="120"/>
      <c r="AQ46" s="119"/>
      <c r="AR46" s="120"/>
      <c r="AS46" s="120"/>
      <c r="AT46" s="120"/>
      <c r="AU46" s="120"/>
      <c r="AV46" s="119"/>
      <c r="AW46" s="120"/>
      <c r="AX46" s="120"/>
      <c r="AY46" s="120"/>
      <c r="AZ46" s="120"/>
      <c r="BA46" s="119"/>
      <c r="BB46" s="120"/>
      <c r="BC46" s="120"/>
      <c r="BD46" s="120"/>
      <c r="BE46" s="120"/>
      <c r="BF46" s="119"/>
      <c r="BG46" s="120"/>
      <c r="BH46" s="120"/>
      <c r="BI46" s="120"/>
      <c r="BJ46" s="120"/>
      <c r="BK46" s="119"/>
      <c r="BL46" s="120"/>
      <c r="BM46" s="120"/>
      <c r="BN46" s="120"/>
      <c r="BO46" s="120"/>
      <c r="BP46" s="119"/>
      <c r="BQ46" s="120"/>
      <c r="BR46" s="120"/>
      <c r="BS46" s="120"/>
      <c r="BT46" s="120"/>
      <c r="BU46" s="119"/>
      <c r="BV46" s="120"/>
      <c r="BW46" s="120"/>
      <c r="BX46" s="120"/>
      <c r="BY46" s="120"/>
      <c r="BZ46" s="119"/>
      <c r="CA46" s="120"/>
      <c r="CB46" s="120"/>
      <c r="CC46" s="120"/>
      <c r="CD46" s="120"/>
      <c r="CE46" s="119"/>
      <c r="CF46" s="120"/>
      <c r="CG46" s="120"/>
      <c r="CH46" s="120"/>
      <c r="CI46" s="120"/>
      <c r="CJ46" s="119"/>
      <c r="CK46" s="120"/>
      <c r="CL46" s="120"/>
      <c r="CM46" s="120"/>
      <c r="CN46" s="120"/>
      <c r="CO46" s="119"/>
      <c r="CP46" s="120"/>
      <c r="CQ46" s="120"/>
      <c r="CR46" s="120"/>
      <c r="CS46" s="120"/>
      <c r="CT46" s="119"/>
      <c r="CU46" s="120"/>
      <c r="CV46" s="120"/>
      <c r="CW46" s="120"/>
      <c r="CX46" s="120"/>
      <c r="CY46" s="119"/>
      <c r="CZ46" s="120"/>
      <c r="DA46" s="120"/>
      <c r="DB46" s="120"/>
      <c r="DC46" s="120"/>
      <c r="DD46" s="119"/>
      <c r="DE46" s="120"/>
      <c r="DF46" s="120"/>
      <c r="DG46" s="120"/>
      <c r="DH46" s="120"/>
      <c r="DI46" s="119"/>
      <c r="DJ46" s="120"/>
      <c r="DK46" s="120"/>
      <c r="DL46" s="120"/>
      <c r="DM46" s="120"/>
      <c r="DN46" s="119"/>
      <c r="DO46" s="120"/>
      <c r="DP46" s="120"/>
      <c r="DQ46" s="120"/>
      <c r="DR46" s="120"/>
      <c r="DS46" s="119"/>
    </row>
    <row r="47" spans="2:123">
      <c r="B47" s="123" t="s">
        <v>301</v>
      </c>
      <c r="C47" s="119"/>
      <c r="D47" s="120"/>
      <c r="E47" s="120"/>
      <c r="F47" s="120"/>
      <c r="G47" s="120"/>
      <c r="H47" s="119"/>
      <c r="I47" s="120"/>
      <c r="J47" s="120"/>
      <c r="K47" s="120"/>
      <c r="L47" s="120"/>
      <c r="M47" s="119"/>
      <c r="N47" s="120"/>
      <c r="O47" s="120"/>
      <c r="P47" s="120"/>
      <c r="Q47" s="120">
        <f>Q188</f>
        <v>67</v>
      </c>
      <c r="R47" s="119">
        <f t="shared" ref="R47:CC47" si="268">R188</f>
        <v>67</v>
      </c>
      <c r="S47" s="120">
        <f t="shared" si="268"/>
        <v>70</v>
      </c>
      <c r="T47" s="120">
        <f t="shared" si="268"/>
        <v>79</v>
      </c>
      <c r="U47" s="120">
        <f t="shared" si="268"/>
        <v>98</v>
      </c>
      <c r="V47" s="120">
        <f t="shared" si="268"/>
        <v>103</v>
      </c>
      <c r="W47" s="119">
        <f t="shared" si="268"/>
        <v>103</v>
      </c>
      <c r="X47" s="120">
        <f t="shared" si="268"/>
        <v>103</v>
      </c>
      <c r="Y47" s="120">
        <f t="shared" si="268"/>
        <v>104</v>
      </c>
      <c r="Z47" s="120">
        <f t="shared" si="268"/>
        <v>106</v>
      </c>
      <c r="AA47" s="120">
        <f t="shared" si="268"/>
        <v>110</v>
      </c>
      <c r="AB47" s="119">
        <f t="shared" si="268"/>
        <v>110</v>
      </c>
      <c r="AC47" s="120">
        <f t="shared" si="268"/>
        <v>111</v>
      </c>
      <c r="AD47" s="120">
        <f t="shared" si="268"/>
        <v>113</v>
      </c>
      <c r="AE47" s="120">
        <f t="shared" si="268"/>
        <v>116</v>
      </c>
      <c r="AF47" s="120">
        <f t="shared" si="268"/>
        <v>120</v>
      </c>
      <c r="AG47" s="119">
        <f t="shared" si="268"/>
        <v>120</v>
      </c>
      <c r="AH47" s="120">
        <f t="shared" si="268"/>
        <v>123</v>
      </c>
      <c r="AI47" s="120">
        <f t="shared" si="268"/>
        <v>131</v>
      </c>
      <c r="AJ47" s="120">
        <f t="shared" si="268"/>
        <v>148</v>
      </c>
      <c r="AK47" s="120">
        <f t="shared" si="268"/>
        <v>150</v>
      </c>
      <c r="AL47" s="119">
        <f t="shared" si="268"/>
        <v>150</v>
      </c>
      <c r="AM47" s="120">
        <f t="shared" si="268"/>
        <v>154</v>
      </c>
      <c r="AN47" s="120">
        <f t="shared" si="268"/>
        <v>161</v>
      </c>
      <c r="AO47" s="120">
        <f t="shared" si="268"/>
        <v>170</v>
      </c>
      <c r="AP47" s="120">
        <f t="shared" si="268"/>
        <v>178</v>
      </c>
      <c r="AQ47" s="119">
        <f t="shared" si="268"/>
        <v>178</v>
      </c>
      <c r="AR47" s="120">
        <f t="shared" si="268"/>
        <v>184</v>
      </c>
      <c r="AS47" s="120">
        <f t="shared" si="268"/>
        <v>191</v>
      </c>
      <c r="AT47" s="120">
        <f t="shared" si="268"/>
        <v>208</v>
      </c>
      <c r="AU47" s="120">
        <f t="shared" si="268"/>
        <v>213</v>
      </c>
      <c r="AV47" s="119">
        <f t="shared" si="268"/>
        <v>213</v>
      </c>
      <c r="AW47" s="120">
        <f t="shared" si="268"/>
        <v>216</v>
      </c>
      <c r="AX47" s="120">
        <f t="shared" si="268"/>
        <v>221</v>
      </c>
      <c r="AY47" s="120">
        <f t="shared" si="268"/>
        <v>237</v>
      </c>
      <c r="AZ47" s="120">
        <f t="shared" si="268"/>
        <v>246</v>
      </c>
      <c r="BA47" s="119">
        <f t="shared" si="268"/>
        <v>246</v>
      </c>
      <c r="BB47" s="120">
        <f t="shared" si="268"/>
        <v>253</v>
      </c>
      <c r="BC47" s="120">
        <f t="shared" si="268"/>
        <v>263</v>
      </c>
      <c r="BD47" s="120">
        <f t="shared" si="268"/>
        <v>271</v>
      </c>
      <c r="BE47" s="120">
        <f t="shared" si="268"/>
        <v>277</v>
      </c>
      <c r="BF47" s="119">
        <f t="shared" si="268"/>
        <v>277</v>
      </c>
      <c r="BG47" s="120">
        <f t="shared" si="268"/>
        <v>279</v>
      </c>
      <c r="BH47" s="120">
        <f t="shared" si="268"/>
        <v>280</v>
      </c>
      <c r="BI47" s="120">
        <f t="shared" si="268"/>
        <v>287</v>
      </c>
      <c r="BJ47" s="120">
        <f t="shared" si="268"/>
        <v>296</v>
      </c>
      <c r="BK47" s="119">
        <f t="shared" si="268"/>
        <v>296</v>
      </c>
      <c r="BL47" s="120">
        <f t="shared" si="268"/>
        <v>298</v>
      </c>
      <c r="BM47" s="120">
        <f t="shared" si="268"/>
        <v>305</v>
      </c>
      <c r="BN47" s="120">
        <f t="shared" si="268"/>
        <v>317</v>
      </c>
      <c r="BO47" s="120">
        <f t="shared" si="268"/>
        <v>326</v>
      </c>
      <c r="BP47" s="119">
        <f t="shared" si="268"/>
        <v>326</v>
      </c>
      <c r="BQ47" s="120">
        <f t="shared" si="268"/>
        <v>326</v>
      </c>
      <c r="BR47" s="120">
        <f t="shared" si="268"/>
        <v>327</v>
      </c>
      <c r="BS47" s="120">
        <f t="shared" si="268"/>
        <v>335</v>
      </c>
      <c r="BT47" s="120">
        <f t="shared" si="268"/>
        <v>341</v>
      </c>
      <c r="BU47" s="119">
        <f t="shared" si="268"/>
        <v>341</v>
      </c>
      <c r="BV47" s="120">
        <f t="shared" si="268"/>
        <v>347</v>
      </c>
      <c r="BW47" s="120">
        <f t="shared" si="268"/>
        <v>348</v>
      </c>
      <c r="BX47" s="120">
        <f t="shared" si="268"/>
        <v>358</v>
      </c>
      <c r="BY47" s="120">
        <f t="shared" si="268"/>
        <v>364</v>
      </c>
      <c r="BZ47" s="119">
        <f t="shared" si="268"/>
        <v>364</v>
      </c>
      <c r="CA47" s="120">
        <f t="shared" si="268"/>
        <v>362</v>
      </c>
      <c r="CB47" s="120">
        <f t="shared" si="268"/>
        <v>370</v>
      </c>
      <c r="CC47" s="120">
        <f t="shared" si="268"/>
        <v>375</v>
      </c>
      <c r="CD47" s="120">
        <f t="shared" ref="CD47:DN47" si="269">CD188</f>
        <v>377</v>
      </c>
      <c r="CE47" s="119">
        <f t="shared" si="269"/>
        <v>377</v>
      </c>
      <c r="CF47" s="120">
        <f t="shared" si="269"/>
        <v>377</v>
      </c>
      <c r="CG47" s="120">
        <f t="shared" si="269"/>
        <v>380</v>
      </c>
      <c r="CH47" s="120">
        <f t="shared" si="269"/>
        <v>384</v>
      </c>
      <c r="CI47" s="120">
        <f t="shared" si="269"/>
        <v>387</v>
      </c>
      <c r="CJ47" s="119">
        <f t="shared" si="269"/>
        <v>387</v>
      </c>
      <c r="CK47" s="120">
        <f t="shared" si="269"/>
        <v>389</v>
      </c>
      <c r="CL47" s="120">
        <f t="shared" si="269"/>
        <v>396</v>
      </c>
      <c r="CM47" s="120">
        <f t="shared" si="269"/>
        <v>403</v>
      </c>
      <c r="CN47" s="120">
        <f t="shared" si="269"/>
        <v>419</v>
      </c>
      <c r="CO47" s="119">
        <f t="shared" si="269"/>
        <v>419</v>
      </c>
      <c r="CP47" s="120">
        <f t="shared" si="269"/>
        <v>426</v>
      </c>
      <c r="CQ47" s="120">
        <f t="shared" si="269"/>
        <v>426</v>
      </c>
      <c r="CR47" s="120">
        <f t="shared" si="269"/>
        <v>431</v>
      </c>
      <c r="CS47" s="120">
        <f t="shared" si="269"/>
        <v>438</v>
      </c>
      <c r="CT47" s="119">
        <f t="shared" si="269"/>
        <v>438</v>
      </c>
      <c r="CU47" s="120">
        <f t="shared" si="269"/>
        <v>440</v>
      </c>
      <c r="CV47" s="120">
        <f t="shared" si="269"/>
        <v>441</v>
      </c>
      <c r="CW47" s="120">
        <f t="shared" si="269"/>
        <v>459</v>
      </c>
      <c r="CX47" s="120">
        <f t="shared" si="269"/>
        <v>462</v>
      </c>
      <c r="CY47" s="119">
        <f t="shared" si="269"/>
        <v>462</v>
      </c>
      <c r="CZ47" s="120">
        <f t="shared" si="269"/>
        <v>462</v>
      </c>
      <c r="DA47" s="120">
        <f t="shared" si="269"/>
        <v>467</v>
      </c>
      <c r="DB47" s="120">
        <f t="shared" ref="DB47" si="270">DB188</f>
        <v>470</v>
      </c>
      <c r="DC47" s="120">
        <f t="shared" si="269"/>
        <v>476</v>
      </c>
      <c r="DD47" s="119">
        <f t="shared" si="269"/>
        <v>476</v>
      </c>
      <c r="DE47" s="120">
        <f t="shared" si="269"/>
        <v>476</v>
      </c>
      <c r="DF47" s="120">
        <f t="shared" si="269"/>
        <v>483</v>
      </c>
      <c r="DG47" s="120">
        <f t="shared" si="269"/>
        <v>485</v>
      </c>
      <c r="DH47" s="120">
        <f t="shared" si="269"/>
        <v>486</v>
      </c>
      <c r="DI47" s="119">
        <f t="shared" si="269"/>
        <v>486</v>
      </c>
      <c r="DJ47" s="120">
        <f t="shared" si="269"/>
        <v>486</v>
      </c>
      <c r="DK47" s="120">
        <f t="shared" si="269"/>
        <v>489</v>
      </c>
      <c r="DL47" s="120">
        <f t="shared" si="269"/>
        <v>492</v>
      </c>
      <c r="DM47" s="120">
        <f t="shared" si="269"/>
        <v>492</v>
      </c>
      <c r="DN47" s="119">
        <f t="shared" si="269"/>
        <v>492</v>
      </c>
      <c r="DO47" s="120">
        <f t="shared" ref="DO47:DS47" si="271">DO188</f>
        <v>492</v>
      </c>
      <c r="DP47" s="120">
        <f t="shared" si="271"/>
        <v>495</v>
      </c>
      <c r="DQ47" s="120">
        <f t="shared" si="271"/>
        <v>498</v>
      </c>
      <c r="DR47" s="120">
        <f t="shared" si="271"/>
        <v>498</v>
      </c>
      <c r="DS47" s="119">
        <f t="shared" si="271"/>
        <v>498</v>
      </c>
    </row>
    <row r="48" spans="2:123">
      <c r="B48" s="123" t="s">
        <v>302</v>
      </c>
      <c r="C48" s="119"/>
      <c r="D48" s="120"/>
      <c r="E48" s="120"/>
      <c r="F48" s="120"/>
      <c r="G48" s="120"/>
      <c r="H48" s="119"/>
      <c r="I48" s="120"/>
      <c r="J48" s="120"/>
      <c r="K48" s="120"/>
      <c r="L48" s="120"/>
      <c r="M48" s="119"/>
      <c r="N48" s="120"/>
      <c r="O48" s="120"/>
      <c r="P48" s="120"/>
      <c r="Q48" s="187">
        <f>Q247</f>
        <v>0</v>
      </c>
      <c r="R48" s="119">
        <f t="shared" ref="R48:CC48" si="272">R247</f>
        <v>0</v>
      </c>
      <c r="S48" s="120">
        <f t="shared" si="272"/>
        <v>0</v>
      </c>
      <c r="T48" s="120">
        <f t="shared" si="272"/>
        <v>0</v>
      </c>
      <c r="U48" s="120">
        <f t="shared" si="272"/>
        <v>0</v>
      </c>
      <c r="V48" s="120">
        <f t="shared" si="272"/>
        <v>0</v>
      </c>
      <c r="W48" s="119">
        <f t="shared" si="272"/>
        <v>0</v>
      </c>
      <c r="X48" s="120">
        <f t="shared" si="272"/>
        <v>0</v>
      </c>
      <c r="Y48" s="120">
        <f t="shared" si="272"/>
        <v>0</v>
      </c>
      <c r="Z48" s="120">
        <f t="shared" si="272"/>
        <v>0</v>
      </c>
      <c r="AA48" s="120">
        <f t="shared" si="272"/>
        <v>0</v>
      </c>
      <c r="AB48" s="119">
        <f t="shared" si="272"/>
        <v>0</v>
      </c>
      <c r="AC48" s="120">
        <f t="shared" si="272"/>
        <v>0</v>
      </c>
      <c r="AD48" s="120">
        <f t="shared" si="272"/>
        <v>0</v>
      </c>
      <c r="AE48" s="120">
        <f t="shared" si="272"/>
        <v>0</v>
      </c>
      <c r="AF48" s="120">
        <f t="shared" si="272"/>
        <v>0</v>
      </c>
      <c r="AG48" s="119">
        <f t="shared" si="272"/>
        <v>0</v>
      </c>
      <c r="AH48" s="120">
        <f t="shared" si="272"/>
        <v>0</v>
      </c>
      <c r="AI48" s="120">
        <f t="shared" si="272"/>
        <v>0</v>
      </c>
      <c r="AJ48" s="120">
        <f t="shared" si="272"/>
        <v>0</v>
      </c>
      <c r="AK48" s="120">
        <f t="shared" si="272"/>
        <v>0</v>
      </c>
      <c r="AL48" s="119">
        <f t="shared" si="272"/>
        <v>0</v>
      </c>
      <c r="AM48" s="120">
        <f t="shared" si="272"/>
        <v>0</v>
      </c>
      <c r="AN48" s="120">
        <f t="shared" si="272"/>
        <v>0</v>
      </c>
      <c r="AO48" s="120">
        <f t="shared" si="272"/>
        <v>0</v>
      </c>
      <c r="AP48" s="120">
        <f t="shared" si="272"/>
        <v>0</v>
      </c>
      <c r="AQ48" s="119">
        <f t="shared" si="272"/>
        <v>0</v>
      </c>
      <c r="AR48" s="120">
        <f t="shared" si="272"/>
        <v>0</v>
      </c>
      <c r="AS48" s="120">
        <f t="shared" si="272"/>
        <v>0</v>
      </c>
      <c r="AT48" s="120">
        <f t="shared" si="272"/>
        <v>0</v>
      </c>
      <c r="AU48" s="120">
        <f t="shared" si="272"/>
        <v>0</v>
      </c>
      <c r="AV48" s="119">
        <f t="shared" si="272"/>
        <v>0</v>
      </c>
      <c r="AW48" s="120">
        <f t="shared" si="272"/>
        <v>0</v>
      </c>
      <c r="AX48" s="120">
        <f t="shared" si="272"/>
        <v>0</v>
      </c>
      <c r="AY48" s="120">
        <f t="shared" si="272"/>
        <v>0</v>
      </c>
      <c r="AZ48" s="120">
        <f t="shared" si="272"/>
        <v>0</v>
      </c>
      <c r="BA48" s="119">
        <f t="shared" si="272"/>
        <v>0</v>
      </c>
      <c r="BB48" s="120">
        <f t="shared" si="272"/>
        <v>0</v>
      </c>
      <c r="BC48" s="120">
        <f t="shared" si="272"/>
        <v>0</v>
      </c>
      <c r="BD48" s="120">
        <f t="shared" si="272"/>
        <v>0</v>
      </c>
      <c r="BE48" s="120">
        <f t="shared" si="272"/>
        <v>0</v>
      </c>
      <c r="BF48" s="119">
        <f t="shared" si="272"/>
        <v>0</v>
      </c>
      <c r="BG48" s="120">
        <f t="shared" si="272"/>
        <v>0</v>
      </c>
      <c r="BH48" s="120">
        <f t="shared" si="272"/>
        <v>0</v>
      </c>
      <c r="BI48" s="120">
        <f t="shared" si="272"/>
        <v>0</v>
      </c>
      <c r="BJ48" s="120">
        <f t="shared" si="272"/>
        <v>3</v>
      </c>
      <c r="BK48" s="119">
        <f t="shared" si="272"/>
        <v>3</v>
      </c>
      <c r="BL48" s="120">
        <f t="shared" si="272"/>
        <v>4</v>
      </c>
      <c r="BM48" s="120">
        <f t="shared" si="272"/>
        <v>5</v>
      </c>
      <c r="BN48" s="120">
        <f t="shared" si="272"/>
        <v>6</v>
      </c>
      <c r="BO48" s="120">
        <f t="shared" si="272"/>
        <v>11</v>
      </c>
      <c r="BP48" s="119">
        <f t="shared" si="272"/>
        <v>11</v>
      </c>
      <c r="BQ48" s="120">
        <f t="shared" si="272"/>
        <v>12</v>
      </c>
      <c r="BR48" s="120">
        <f t="shared" si="272"/>
        <v>12</v>
      </c>
      <c r="BS48" s="120">
        <f t="shared" si="272"/>
        <v>13</v>
      </c>
      <c r="BT48" s="120">
        <f t="shared" si="272"/>
        <v>15</v>
      </c>
      <c r="BU48" s="119">
        <f t="shared" si="272"/>
        <v>15</v>
      </c>
      <c r="BV48" s="120">
        <f t="shared" si="272"/>
        <v>19</v>
      </c>
      <c r="BW48" s="120">
        <f t="shared" si="272"/>
        <v>20</v>
      </c>
      <c r="BX48" s="120">
        <f t="shared" si="272"/>
        <v>25</v>
      </c>
      <c r="BY48" s="120">
        <f t="shared" si="272"/>
        <v>29</v>
      </c>
      <c r="BZ48" s="119">
        <f t="shared" si="272"/>
        <v>29</v>
      </c>
      <c r="CA48" s="120">
        <f t="shared" si="272"/>
        <v>31</v>
      </c>
      <c r="CB48" s="120">
        <f t="shared" si="272"/>
        <v>37</v>
      </c>
      <c r="CC48" s="120">
        <f t="shared" si="272"/>
        <v>39</v>
      </c>
      <c r="CD48" s="120">
        <f t="shared" ref="CD48:DN48" si="273">CD247</f>
        <v>44</v>
      </c>
      <c r="CE48" s="119">
        <f t="shared" si="273"/>
        <v>44</v>
      </c>
      <c r="CF48" s="120">
        <f t="shared" si="273"/>
        <v>45</v>
      </c>
      <c r="CG48" s="120">
        <f t="shared" si="273"/>
        <v>51</v>
      </c>
      <c r="CH48" s="120">
        <f t="shared" si="273"/>
        <v>59</v>
      </c>
      <c r="CI48" s="120">
        <f t="shared" si="273"/>
        <v>70</v>
      </c>
      <c r="CJ48" s="119">
        <f t="shared" si="273"/>
        <v>70</v>
      </c>
      <c r="CK48" s="120">
        <f t="shared" si="273"/>
        <v>71</v>
      </c>
      <c r="CL48" s="120">
        <f t="shared" si="273"/>
        <v>79</v>
      </c>
      <c r="CM48" s="120">
        <f t="shared" si="273"/>
        <v>88</v>
      </c>
      <c r="CN48" s="120">
        <f t="shared" si="273"/>
        <v>99</v>
      </c>
      <c r="CO48" s="119">
        <f t="shared" si="273"/>
        <v>99</v>
      </c>
      <c r="CP48" s="120">
        <f t="shared" si="273"/>
        <v>101</v>
      </c>
      <c r="CQ48" s="120">
        <f t="shared" si="273"/>
        <v>107</v>
      </c>
      <c r="CR48" s="120">
        <f t="shared" si="273"/>
        <v>114</v>
      </c>
      <c r="CS48" s="120">
        <f t="shared" si="273"/>
        <v>127</v>
      </c>
      <c r="CT48" s="119">
        <f t="shared" si="273"/>
        <v>127</v>
      </c>
      <c r="CU48" s="120">
        <f t="shared" si="273"/>
        <v>127</v>
      </c>
      <c r="CV48" s="120">
        <f t="shared" si="273"/>
        <v>132</v>
      </c>
      <c r="CW48" s="120">
        <f t="shared" si="273"/>
        <v>138</v>
      </c>
      <c r="CX48" s="120">
        <f t="shared" si="273"/>
        <v>151</v>
      </c>
      <c r="CY48" s="119">
        <f t="shared" si="273"/>
        <v>151</v>
      </c>
      <c r="CZ48" s="120">
        <f t="shared" si="273"/>
        <v>154</v>
      </c>
      <c r="DA48" s="120">
        <f t="shared" si="273"/>
        <v>159</v>
      </c>
      <c r="DB48" s="120">
        <f t="shared" ref="DB48" si="274">DB247</f>
        <v>165</v>
      </c>
      <c r="DC48" s="120">
        <f t="shared" si="273"/>
        <v>172</v>
      </c>
      <c r="DD48" s="119">
        <f t="shared" si="273"/>
        <v>172</v>
      </c>
      <c r="DE48" s="120">
        <f t="shared" si="273"/>
        <v>173</v>
      </c>
      <c r="DF48" s="120">
        <f t="shared" si="273"/>
        <v>174</v>
      </c>
      <c r="DG48" s="120">
        <f t="shared" si="273"/>
        <v>181</v>
      </c>
      <c r="DH48" s="120">
        <f t="shared" si="273"/>
        <v>189</v>
      </c>
      <c r="DI48" s="119">
        <f t="shared" si="273"/>
        <v>189</v>
      </c>
      <c r="DJ48" s="120">
        <f t="shared" si="273"/>
        <v>190</v>
      </c>
      <c r="DK48" s="120">
        <f t="shared" si="273"/>
        <v>194</v>
      </c>
      <c r="DL48" s="120">
        <f t="shared" si="273"/>
        <v>198</v>
      </c>
      <c r="DM48" s="120">
        <f t="shared" si="273"/>
        <v>206</v>
      </c>
      <c r="DN48" s="119">
        <f t="shared" si="273"/>
        <v>206</v>
      </c>
      <c r="DO48" s="120">
        <f t="shared" ref="DO48:DS48" si="275">DO247</f>
        <v>207</v>
      </c>
      <c r="DP48" s="120">
        <f t="shared" si="275"/>
        <v>211</v>
      </c>
      <c r="DQ48" s="120">
        <f t="shared" si="275"/>
        <v>215</v>
      </c>
      <c r="DR48" s="120">
        <f t="shared" si="275"/>
        <v>223</v>
      </c>
      <c r="DS48" s="119">
        <f t="shared" si="275"/>
        <v>223</v>
      </c>
    </row>
    <row r="49" spans="2:123">
      <c r="B49" s="123" t="s">
        <v>303</v>
      </c>
      <c r="C49" s="119"/>
      <c r="D49" s="120"/>
      <c r="E49" s="120"/>
      <c r="F49" s="120"/>
      <c r="G49" s="120"/>
      <c r="H49" s="119"/>
      <c r="I49" s="120"/>
      <c r="J49" s="120"/>
      <c r="K49" s="120"/>
      <c r="L49" s="120"/>
      <c r="M49" s="119"/>
      <c r="N49" s="120"/>
      <c r="O49" s="120"/>
      <c r="P49" s="120"/>
      <c r="Q49" s="187">
        <f>Q326</f>
        <v>4</v>
      </c>
      <c r="R49" s="119">
        <f t="shared" ref="R49:CC49" si="276">R326</f>
        <v>4</v>
      </c>
      <c r="S49" s="120">
        <f t="shared" si="276"/>
        <v>4</v>
      </c>
      <c r="T49" s="120">
        <f t="shared" si="276"/>
        <v>1</v>
      </c>
      <c r="U49" s="120">
        <f t="shared" si="276"/>
        <v>0</v>
      </c>
      <c r="V49" s="120">
        <f t="shared" si="276"/>
        <v>0</v>
      </c>
      <c r="W49" s="119">
        <f t="shared" si="276"/>
        <v>0</v>
      </c>
      <c r="X49" s="120">
        <f t="shared" si="276"/>
        <v>0</v>
      </c>
      <c r="Y49" s="120">
        <f t="shared" si="276"/>
        <v>0</v>
      </c>
      <c r="Z49" s="120">
        <f t="shared" si="276"/>
        <v>0</v>
      </c>
      <c r="AA49" s="120">
        <f t="shared" si="276"/>
        <v>0</v>
      </c>
      <c r="AB49" s="119">
        <f t="shared" si="276"/>
        <v>0</v>
      </c>
      <c r="AC49" s="120">
        <f t="shared" si="276"/>
        <v>0</v>
      </c>
      <c r="AD49" s="120">
        <f t="shared" si="276"/>
        <v>10</v>
      </c>
      <c r="AE49" s="120">
        <f t="shared" si="276"/>
        <v>11</v>
      </c>
      <c r="AF49" s="120">
        <f t="shared" si="276"/>
        <v>11</v>
      </c>
      <c r="AG49" s="119">
        <f t="shared" si="276"/>
        <v>11</v>
      </c>
      <c r="AH49" s="120">
        <f t="shared" si="276"/>
        <v>12</v>
      </c>
      <c r="AI49" s="120">
        <f t="shared" si="276"/>
        <v>13</v>
      </c>
      <c r="AJ49" s="120">
        <f t="shared" si="276"/>
        <v>14</v>
      </c>
      <c r="AK49" s="120">
        <f t="shared" si="276"/>
        <v>19</v>
      </c>
      <c r="AL49" s="119">
        <f t="shared" si="276"/>
        <v>19</v>
      </c>
      <c r="AM49" s="120">
        <f t="shared" si="276"/>
        <v>19</v>
      </c>
      <c r="AN49" s="120">
        <f t="shared" si="276"/>
        <v>21</v>
      </c>
      <c r="AO49" s="120">
        <f t="shared" si="276"/>
        <v>24</v>
      </c>
      <c r="AP49" s="120">
        <f t="shared" si="276"/>
        <v>25</v>
      </c>
      <c r="AQ49" s="119">
        <f t="shared" si="276"/>
        <v>25</v>
      </c>
      <c r="AR49" s="120">
        <f t="shared" si="276"/>
        <v>26</v>
      </c>
      <c r="AS49" s="120">
        <f t="shared" si="276"/>
        <v>26</v>
      </c>
      <c r="AT49" s="120">
        <f t="shared" si="276"/>
        <v>28</v>
      </c>
      <c r="AU49" s="120">
        <f t="shared" si="276"/>
        <v>29</v>
      </c>
      <c r="AV49" s="119">
        <f t="shared" si="276"/>
        <v>29</v>
      </c>
      <c r="AW49" s="120">
        <f t="shared" si="276"/>
        <v>31</v>
      </c>
      <c r="AX49" s="120">
        <f t="shared" si="276"/>
        <v>31</v>
      </c>
      <c r="AY49" s="120">
        <f t="shared" si="276"/>
        <v>31</v>
      </c>
      <c r="AZ49" s="120">
        <f t="shared" si="276"/>
        <v>34</v>
      </c>
      <c r="BA49" s="119">
        <f t="shared" si="276"/>
        <v>34</v>
      </c>
      <c r="BB49" s="120">
        <f t="shared" si="276"/>
        <v>34</v>
      </c>
      <c r="BC49" s="120">
        <f t="shared" si="276"/>
        <v>38</v>
      </c>
      <c r="BD49" s="120">
        <f t="shared" si="276"/>
        <v>42</v>
      </c>
      <c r="BE49" s="120">
        <f t="shared" si="276"/>
        <v>43</v>
      </c>
      <c r="BF49" s="119">
        <f t="shared" si="276"/>
        <v>43</v>
      </c>
      <c r="BG49" s="120">
        <f t="shared" si="276"/>
        <v>45</v>
      </c>
      <c r="BH49" s="120">
        <f t="shared" si="276"/>
        <v>47</v>
      </c>
      <c r="BI49" s="120">
        <f t="shared" si="276"/>
        <v>48</v>
      </c>
      <c r="BJ49" s="120">
        <f t="shared" si="276"/>
        <v>52</v>
      </c>
      <c r="BK49" s="119">
        <f t="shared" si="276"/>
        <v>52</v>
      </c>
      <c r="BL49" s="120">
        <f t="shared" si="276"/>
        <v>54</v>
      </c>
      <c r="BM49" s="120">
        <f t="shared" si="276"/>
        <v>56</v>
      </c>
      <c r="BN49" s="120">
        <f t="shared" si="276"/>
        <v>58</v>
      </c>
      <c r="BO49" s="120">
        <f t="shared" si="276"/>
        <v>60</v>
      </c>
      <c r="BP49" s="119">
        <f t="shared" si="276"/>
        <v>60</v>
      </c>
      <c r="BQ49" s="120">
        <f t="shared" si="276"/>
        <v>66</v>
      </c>
      <c r="BR49" s="120">
        <f t="shared" si="276"/>
        <v>69</v>
      </c>
      <c r="BS49" s="120">
        <f t="shared" si="276"/>
        <v>71</v>
      </c>
      <c r="BT49" s="120">
        <f t="shared" si="276"/>
        <v>77</v>
      </c>
      <c r="BU49" s="119">
        <f t="shared" si="276"/>
        <v>77</v>
      </c>
      <c r="BV49" s="120">
        <f t="shared" si="276"/>
        <v>82</v>
      </c>
      <c r="BW49" s="120">
        <f t="shared" si="276"/>
        <v>85</v>
      </c>
      <c r="BX49" s="120">
        <f t="shared" si="276"/>
        <v>90</v>
      </c>
      <c r="BY49" s="120">
        <f t="shared" si="276"/>
        <v>94</v>
      </c>
      <c r="BZ49" s="119">
        <f t="shared" si="276"/>
        <v>94</v>
      </c>
      <c r="CA49" s="120">
        <f t="shared" si="276"/>
        <v>96</v>
      </c>
      <c r="CB49" s="120">
        <f t="shared" si="276"/>
        <v>99</v>
      </c>
      <c r="CC49" s="120">
        <f t="shared" si="276"/>
        <v>101</v>
      </c>
      <c r="CD49" s="120">
        <f t="shared" ref="CD49:DN49" si="277">CD326</f>
        <v>100</v>
      </c>
      <c r="CE49" s="119">
        <f t="shared" si="277"/>
        <v>100</v>
      </c>
      <c r="CF49" s="120">
        <f t="shared" si="277"/>
        <v>101</v>
      </c>
      <c r="CG49" s="120">
        <f t="shared" si="277"/>
        <v>103</v>
      </c>
      <c r="CH49" s="120">
        <f t="shared" si="277"/>
        <v>109</v>
      </c>
      <c r="CI49" s="120">
        <f t="shared" si="277"/>
        <v>117</v>
      </c>
      <c r="CJ49" s="119">
        <f t="shared" si="277"/>
        <v>117</v>
      </c>
      <c r="CK49" s="120">
        <f t="shared" si="277"/>
        <v>119</v>
      </c>
      <c r="CL49" s="120">
        <f t="shared" si="277"/>
        <v>125</v>
      </c>
      <c r="CM49" s="120">
        <f t="shared" si="277"/>
        <v>132</v>
      </c>
      <c r="CN49" s="120">
        <f t="shared" si="277"/>
        <v>137</v>
      </c>
      <c r="CO49" s="119">
        <f t="shared" si="277"/>
        <v>137</v>
      </c>
      <c r="CP49" s="120">
        <f t="shared" si="277"/>
        <v>135</v>
      </c>
      <c r="CQ49" s="120">
        <f t="shared" si="277"/>
        <v>139</v>
      </c>
      <c r="CR49" s="120">
        <f t="shared" si="277"/>
        <v>141</v>
      </c>
      <c r="CS49" s="120">
        <f t="shared" si="277"/>
        <v>146</v>
      </c>
      <c r="CT49" s="119">
        <f t="shared" si="277"/>
        <v>146</v>
      </c>
      <c r="CU49" s="120">
        <f t="shared" si="277"/>
        <v>144</v>
      </c>
      <c r="CV49" s="120">
        <f t="shared" si="277"/>
        <v>148</v>
      </c>
      <c r="CW49" s="120">
        <f t="shared" si="277"/>
        <v>152</v>
      </c>
      <c r="CX49" s="120">
        <f t="shared" si="277"/>
        <v>154</v>
      </c>
      <c r="CY49" s="119">
        <f t="shared" si="277"/>
        <v>154</v>
      </c>
      <c r="CZ49" s="120">
        <f t="shared" si="277"/>
        <v>154</v>
      </c>
      <c r="DA49" s="120">
        <f t="shared" si="277"/>
        <v>158</v>
      </c>
      <c r="DB49" s="120">
        <f t="shared" ref="DB49" si="278">DB326</f>
        <v>161</v>
      </c>
      <c r="DC49" s="120">
        <f t="shared" si="277"/>
        <v>163</v>
      </c>
      <c r="DD49" s="119">
        <f t="shared" si="277"/>
        <v>163</v>
      </c>
      <c r="DE49" s="120">
        <f t="shared" si="277"/>
        <v>167</v>
      </c>
      <c r="DF49" s="120">
        <f t="shared" si="277"/>
        <v>168</v>
      </c>
      <c r="DG49" s="120">
        <f t="shared" si="277"/>
        <v>169</v>
      </c>
      <c r="DH49" s="120">
        <f t="shared" si="277"/>
        <v>171</v>
      </c>
      <c r="DI49" s="119">
        <f t="shared" si="277"/>
        <v>171</v>
      </c>
      <c r="DJ49" s="120">
        <f t="shared" si="277"/>
        <v>171</v>
      </c>
      <c r="DK49" s="120">
        <f t="shared" si="277"/>
        <v>173</v>
      </c>
      <c r="DL49" s="120">
        <f t="shared" si="277"/>
        <v>175</v>
      </c>
      <c r="DM49" s="120">
        <f t="shared" si="277"/>
        <v>179</v>
      </c>
      <c r="DN49" s="119">
        <f t="shared" si="277"/>
        <v>179</v>
      </c>
      <c r="DO49" s="120">
        <f t="shared" ref="DO49:DS49" si="279">DO326</f>
        <v>179</v>
      </c>
      <c r="DP49" s="120">
        <f t="shared" si="279"/>
        <v>181</v>
      </c>
      <c r="DQ49" s="120">
        <f t="shared" si="279"/>
        <v>183</v>
      </c>
      <c r="DR49" s="120">
        <f t="shared" si="279"/>
        <v>187</v>
      </c>
      <c r="DS49" s="119">
        <f t="shared" si="279"/>
        <v>187</v>
      </c>
    </row>
    <row r="50" s="3" customFormat="1" spans="2:123">
      <c r="B50" s="130" t="s">
        <v>304</v>
      </c>
      <c r="C50" s="188"/>
      <c r="D50" s="189"/>
      <c r="E50" s="189"/>
      <c r="F50" s="189"/>
      <c r="G50" s="189"/>
      <c r="H50" s="188"/>
      <c r="I50" s="189"/>
      <c r="J50" s="189"/>
      <c r="K50" s="189"/>
      <c r="L50" s="189"/>
      <c r="M50" s="188"/>
      <c r="N50" s="189"/>
      <c r="O50" s="189"/>
      <c r="P50" s="189"/>
      <c r="Q50" s="190">
        <f>Q47+Q48+Q49</f>
        <v>71</v>
      </c>
      <c r="R50" s="188">
        <f t="shared" ref="R50:CC50" si="280">R47+R48+R49</f>
        <v>71</v>
      </c>
      <c r="S50" s="189">
        <f t="shared" si="280"/>
        <v>74</v>
      </c>
      <c r="T50" s="189">
        <f t="shared" si="280"/>
        <v>80</v>
      </c>
      <c r="U50" s="189">
        <f t="shared" si="280"/>
        <v>98</v>
      </c>
      <c r="V50" s="189">
        <f t="shared" si="280"/>
        <v>103</v>
      </c>
      <c r="W50" s="188">
        <f t="shared" si="280"/>
        <v>103</v>
      </c>
      <c r="X50" s="189">
        <f t="shared" si="280"/>
        <v>103</v>
      </c>
      <c r="Y50" s="189">
        <f t="shared" si="280"/>
        <v>104</v>
      </c>
      <c r="Z50" s="189">
        <f t="shared" si="280"/>
        <v>106</v>
      </c>
      <c r="AA50" s="189">
        <f t="shared" si="280"/>
        <v>110</v>
      </c>
      <c r="AB50" s="188">
        <f t="shared" si="280"/>
        <v>110</v>
      </c>
      <c r="AC50" s="189">
        <f t="shared" si="280"/>
        <v>111</v>
      </c>
      <c r="AD50" s="189">
        <f t="shared" si="280"/>
        <v>123</v>
      </c>
      <c r="AE50" s="189">
        <f t="shared" si="280"/>
        <v>127</v>
      </c>
      <c r="AF50" s="189">
        <f t="shared" si="280"/>
        <v>131</v>
      </c>
      <c r="AG50" s="188">
        <f t="shared" si="280"/>
        <v>131</v>
      </c>
      <c r="AH50" s="189">
        <f t="shared" si="280"/>
        <v>135</v>
      </c>
      <c r="AI50" s="189">
        <f t="shared" si="280"/>
        <v>144</v>
      </c>
      <c r="AJ50" s="189">
        <f t="shared" si="280"/>
        <v>162</v>
      </c>
      <c r="AK50" s="189">
        <f t="shared" si="280"/>
        <v>169</v>
      </c>
      <c r="AL50" s="188">
        <f t="shared" si="280"/>
        <v>169</v>
      </c>
      <c r="AM50" s="189">
        <f t="shared" si="280"/>
        <v>173</v>
      </c>
      <c r="AN50" s="189">
        <f t="shared" si="280"/>
        <v>182</v>
      </c>
      <c r="AO50" s="189">
        <f t="shared" si="280"/>
        <v>194</v>
      </c>
      <c r="AP50" s="189">
        <f t="shared" si="280"/>
        <v>203</v>
      </c>
      <c r="AQ50" s="188">
        <f t="shared" si="280"/>
        <v>203</v>
      </c>
      <c r="AR50" s="189">
        <f t="shared" si="280"/>
        <v>210</v>
      </c>
      <c r="AS50" s="189">
        <f t="shared" si="280"/>
        <v>217</v>
      </c>
      <c r="AT50" s="189">
        <f t="shared" si="280"/>
        <v>236</v>
      </c>
      <c r="AU50" s="189">
        <f t="shared" si="280"/>
        <v>242</v>
      </c>
      <c r="AV50" s="188">
        <f t="shared" si="280"/>
        <v>242</v>
      </c>
      <c r="AW50" s="189">
        <f t="shared" si="280"/>
        <v>247</v>
      </c>
      <c r="AX50" s="189">
        <f t="shared" si="280"/>
        <v>252</v>
      </c>
      <c r="AY50" s="189">
        <f t="shared" si="280"/>
        <v>268</v>
      </c>
      <c r="AZ50" s="189">
        <f t="shared" si="280"/>
        <v>280</v>
      </c>
      <c r="BA50" s="188">
        <f t="shared" si="280"/>
        <v>280</v>
      </c>
      <c r="BB50" s="189">
        <f t="shared" si="280"/>
        <v>287</v>
      </c>
      <c r="BC50" s="189">
        <f t="shared" si="280"/>
        <v>301</v>
      </c>
      <c r="BD50" s="189">
        <f t="shared" si="280"/>
        <v>313</v>
      </c>
      <c r="BE50" s="189">
        <f t="shared" si="280"/>
        <v>320</v>
      </c>
      <c r="BF50" s="188">
        <f t="shared" si="280"/>
        <v>320</v>
      </c>
      <c r="BG50" s="189">
        <f t="shared" si="280"/>
        <v>324</v>
      </c>
      <c r="BH50" s="189">
        <f t="shared" si="280"/>
        <v>327</v>
      </c>
      <c r="BI50" s="189">
        <f t="shared" si="280"/>
        <v>335</v>
      </c>
      <c r="BJ50" s="189">
        <f t="shared" si="280"/>
        <v>351</v>
      </c>
      <c r="BK50" s="188">
        <f t="shared" si="280"/>
        <v>351</v>
      </c>
      <c r="BL50" s="189">
        <f t="shared" si="280"/>
        <v>356</v>
      </c>
      <c r="BM50" s="189">
        <f t="shared" si="280"/>
        <v>366</v>
      </c>
      <c r="BN50" s="189">
        <f t="shared" si="280"/>
        <v>381</v>
      </c>
      <c r="BO50" s="189">
        <f t="shared" si="280"/>
        <v>397</v>
      </c>
      <c r="BP50" s="188">
        <f t="shared" si="280"/>
        <v>397</v>
      </c>
      <c r="BQ50" s="189">
        <f t="shared" si="280"/>
        <v>404</v>
      </c>
      <c r="BR50" s="189">
        <f t="shared" si="280"/>
        <v>408</v>
      </c>
      <c r="BS50" s="189">
        <f t="shared" si="280"/>
        <v>419</v>
      </c>
      <c r="BT50" s="189">
        <f t="shared" si="280"/>
        <v>433</v>
      </c>
      <c r="BU50" s="188">
        <f t="shared" si="280"/>
        <v>433</v>
      </c>
      <c r="BV50" s="189">
        <f t="shared" si="280"/>
        <v>448</v>
      </c>
      <c r="BW50" s="189">
        <f t="shared" si="280"/>
        <v>453</v>
      </c>
      <c r="BX50" s="189">
        <f t="shared" si="280"/>
        <v>473</v>
      </c>
      <c r="BY50" s="189">
        <f t="shared" si="280"/>
        <v>487</v>
      </c>
      <c r="BZ50" s="188">
        <f t="shared" si="280"/>
        <v>487</v>
      </c>
      <c r="CA50" s="189">
        <f t="shared" si="280"/>
        <v>489</v>
      </c>
      <c r="CB50" s="189">
        <f t="shared" si="280"/>
        <v>506</v>
      </c>
      <c r="CC50" s="189">
        <f t="shared" si="280"/>
        <v>515</v>
      </c>
      <c r="CD50" s="189">
        <f t="shared" ref="CD50:DN50" si="281">CD47+CD48+CD49</f>
        <v>521</v>
      </c>
      <c r="CE50" s="188">
        <f t="shared" si="281"/>
        <v>521</v>
      </c>
      <c r="CF50" s="189">
        <f t="shared" si="281"/>
        <v>523</v>
      </c>
      <c r="CG50" s="189">
        <f t="shared" si="281"/>
        <v>534</v>
      </c>
      <c r="CH50" s="189">
        <f t="shared" si="281"/>
        <v>552</v>
      </c>
      <c r="CI50" s="189">
        <f t="shared" si="281"/>
        <v>574</v>
      </c>
      <c r="CJ50" s="188">
        <f t="shared" si="281"/>
        <v>574</v>
      </c>
      <c r="CK50" s="189">
        <f t="shared" si="281"/>
        <v>579</v>
      </c>
      <c r="CL50" s="189">
        <f t="shared" si="281"/>
        <v>600</v>
      </c>
      <c r="CM50" s="189">
        <f t="shared" si="281"/>
        <v>623</v>
      </c>
      <c r="CN50" s="189">
        <f t="shared" si="281"/>
        <v>655</v>
      </c>
      <c r="CO50" s="188">
        <f t="shared" si="281"/>
        <v>655</v>
      </c>
      <c r="CP50" s="189">
        <f t="shared" si="281"/>
        <v>662</v>
      </c>
      <c r="CQ50" s="189">
        <f t="shared" si="281"/>
        <v>672</v>
      </c>
      <c r="CR50" s="189">
        <f t="shared" si="281"/>
        <v>686</v>
      </c>
      <c r="CS50" s="189">
        <f t="shared" si="281"/>
        <v>711</v>
      </c>
      <c r="CT50" s="188">
        <f t="shared" si="281"/>
        <v>711</v>
      </c>
      <c r="CU50" s="189">
        <f t="shared" si="281"/>
        <v>711</v>
      </c>
      <c r="CV50" s="189">
        <f t="shared" si="281"/>
        <v>721</v>
      </c>
      <c r="CW50" s="189">
        <f t="shared" si="281"/>
        <v>749</v>
      </c>
      <c r="CX50" s="189">
        <f t="shared" si="281"/>
        <v>767</v>
      </c>
      <c r="CY50" s="188">
        <f t="shared" si="281"/>
        <v>767</v>
      </c>
      <c r="CZ50" s="189">
        <f t="shared" si="281"/>
        <v>770</v>
      </c>
      <c r="DA50" s="189">
        <f t="shared" si="281"/>
        <v>784</v>
      </c>
      <c r="DB50" s="189">
        <f t="shared" ref="DB50" si="282">DB47+DB48+DB49</f>
        <v>796</v>
      </c>
      <c r="DC50" s="189">
        <f t="shared" si="281"/>
        <v>811</v>
      </c>
      <c r="DD50" s="188">
        <f t="shared" si="281"/>
        <v>811</v>
      </c>
      <c r="DE50" s="189">
        <f t="shared" si="281"/>
        <v>816</v>
      </c>
      <c r="DF50" s="189">
        <f t="shared" si="281"/>
        <v>825</v>
      </c>
      <c r="DG50" s="189">
        <f t="shared" si="281"/>
        <v>835</v>
      </c>
      <c r="DH50" s="189">
        <f t="shared" si="281"/>
        <v>846</v>
      </c>
      <c r="DI50" s="188">
        <f t="shared" si="281"/>
        <v>846</v>
      </c>
      <c r="DJ50" s="189">
        <f t="shared" si="281"/>
        <v>847</v>
      </c>
      <c r="DK50" s="189">
        <f t="shared" si="281"/>
        <v>856</v>
      </c>
      <c r="DL50" s="189">
        <f t="shared" si="281"/>
        <v>865</v>
      </c>
      <c r="DM50" s="189">
        <f t="shared" si="281"/>
        <v>877</v>
      </c>
      <c r="DN50" s="188">
        <f t="shared" si="281"/>
        <v>877</v>
      </c>
      <c r="DO50" s="189">
        <f t="shared" ref="DO50:DS50" si="283">DO47+DO48+DO49</f>
        <v>878</v>
      </c>
      <c r="DP50" s="189">
        <f t="shared" si="283"/>
        <v>887</v>
      </c>
      <c r="DQ50" s="189">
        <f t="shared" si="283"/>
        <v>896</v>
      </c>
      <c r="DR50" s="189">
        <f t="shared" si="283"/>
        <v>908</v>
      </c>
      <c r="DS50" s="188">
        <f t="shared" si="283"/>
        <v>908</v>
      </c>
    </row>
    <row r="51" s="4" customFormat="1" spans="2:123">
      <c r="B51" s="144" t="s">
        <v>305</v>
      </c>
      <c r="C51" s="191"/>
      <c r="D51" s="192"/>
      <c r="E51" s="192"/>
      <c r="F51" s="192"/>
      <c r="G51" s="192"/>
      <c r="H51" s="191"/>
      <c r="I51" s="192"/>
      <c r="J51" s="192"/>
      <c r="K51" s="192"/>
      <c r="L51" s="192"/>
      <c r="M51" s="191"/>
      <c r="N51" s="192"/>
      <c r="O51" s="192"/>
      <c r="P51" s="192"/>
      <c r="Q51" s="753" t="s">
        <v>208</v>
      </c>
      <c r="R51" s="754" t="s">
        <v>208</v>
      </c>
      <c r="S51" s="192">
        <f>S50-R50</f>
        <v>3</v>
      </c>
      <c r="T51" s="192">
        <f t="shared" ref="T51:V51" si="284">T50-S50</f>
        <v>6</v>
      </c>
      <c r="U51" s="192">
        <f t="shared" si="284"/>
        <v>18</v>
      </c>
      <c r="V51" s="192">
        <f t="shared" si="284"/>
        <v>5</v>
      </c>
      <c r="W51" s="191">
        <f>W50-R50</f>
        <v>32</v>
      </c>
      <c r="X51" s="192">
        <f>X50-W50</f>
        <v>0</v>
      </c>
      <c r="Y51" s="192">
        <f t="shared" ref="Y51" si="285">Y50-X50</f>
        <v>1</v>
      </c>
      <c r="Z51" s="192">
        <f t="shared" ref="Z51" si="286">Z50-Y50</f>
        <v>2</v>
      </c>
      <c r="AA51" s="192">
        <f t="shared" ref="AA51" si="287">AA50-Z50</f>
        <v>4</v>
      </c>
      <c r="AB51" s="191">
        <f>AB50-W50</f>
        <v>7</v>
      </c>
      <c r="AC51" s="192">
        <f>AC50-AB50</f>
        <v>1</v>
      </c>
      <c r="AD51" s="192">
        <f t="shared" ref="AD51" si="288">AD50-AC50</f>
        <v>12</v>
      </c>
      <c r="AE51" s="192">
        <f t="shared" ref="AE51" si="289">AE50-AD50</f>
        <v>4</v>
      </c>
      <c r="AF51" s="192">
        <f t="shared" ref="AF51" si="290">AF50-AE50</f>
        <v>4</v>
      </c>
      <c r="AG51" s="191">
        <f>AG50-AB50</f>
        <v>21</v>
      </c>
      <c r="AH51" s="192">
        <f>AH50-AG50</f>
        <v>4</v>
      </c>
      <c r="AI51" s="192">
        <f t="shared" ref="AI51" si="291">AI50-AH50</f>
        <v>9</v>
      </c>
      <c r="AJ51" s="192">
        <f t="shared" ref="AJ51" si="292">AJ50-AI50</f>
        <v>18</v>
      </c>
      <c r="AK51" s="192">
        <f t="shared" ref="AK51" si="293">AK50-AJ50</f>
        <v>7</v>
      </c>
      <c r="AL51" s="191">
        <f>AL50-AG50</f>
        <v>38</v>
      </c>
      <c r="AM51" s="192">
        <f>AM50-AL50</f>
        <v>4</v>
      </c>
      <c r="AN51" s="192">
        <f t="shared" ref="AN51" si="294">AN50-AM50</f>
        <v>9</v>
      </c>
      <c r="AO51" s="192">
        <f t="shared" ref="AO51" si="295">AO50-AN50</f>
        <v>12</v>
      </c>
      <c r="AP51" s="192">
        <f t="shared" ref="AP51" si="296">AP50-AO50</f>
        <v>9</v>
      </c>
      <c r="AQ51" s="191">
        <f>AQ50-AL50</f>
        <v>34</v>
      </c>
      <c r="AR51" s="192">
        <f>AR50-AQ50</f>
        <v>7</v>
      </c>
      <c r="AS51" s="192">
        <f t="shared" ref="AS51" si="297">AS50-AR50</f>
        <v>7</v>
      </c>
      <c r="AT51" s="192">
        <f t="shared" ref="AT51" si="298">AT50-AS50</f>
        <v>19</v>
      </c>
      <c r="AU51" s="192">
        <f t="shared" ref="AU51" si="299">AU50-AT50</f>
        <v>6</v>
      </c>
      <c r="AV51" s="191">
        <f>AV50-AQ50</f>
        <v>39</v>
      </c>
      <c r="AW51" s="192">
        <f>AW50-AV50</f>
        <v>5</v>
      </c>
      <c r="AX51" s="192">
        <f t="shared" ref="AX51" si="300">AX50-AW50</f>
        <v>5</v>
      </c>
      <c r="AY51" s="192">
        <f t="shared" ref="AY51" si="301">AY50-AX50</f>
        <v>16</v>
      </c>
      <c r="AZ51" s="192">
        <f t="shared" ref="AZ51" si="302">AZ50-AY50</f>
        <v>12</v>
      </c>
      <c r="BA51" s="191">
        <f>BA50-AV50</f>
        <v>38</v>
      </c>
      <c r="BB51" s="192">
        <f>BB50-BA50</f>
        <v>7</v>
      </c>
      <c r="BC51" s="192">
        <f t="shared" ref="BC51" si="303">BC50-BB50</f>
        <v>14</v>
      </c>
      <c r="BD51" s="192">
        <f t="shared" ref="BD51" si="304">BD50-BC50</f>
        <v>12</v>
      </c>
      <c r="BE51" s="192">
        <f t="shared" ref="BE51" si="305">BE50-BD50</f>
        <v>7</v>
      </c>
      <c r="BF51" s="191">
        <f>BF50-BA50</f>
        <v>40</v>
      </c>
      <c r="BG51" s="192">
        <f>BG50-BF50</f>
        <v>4</v>
      </c>
      <c r="BH51" s="192">
        <f t="shared" ref="BH51" si="306">BH50-BG50</f>
        <v>3</v>
      </c>
      <c r="BI51" s="192">
        <f t="shared" ref="BI51" si="307">BI50-BH50</f>
        <v>8</v>
      </c>
      <c r="BJ51" s="192">
        <f t="shared" ref="BJ51" si="308">BJ50-BI50</f>
        <v>16</v>
      </c>
      <c r="BK51" s="191">
        <f>BK50-BF50</f>
        <v>31</v>
      </c>
      <c r="BL51" s="192">
        <f>BL50-BK50</f>
        <v>5</v>
      </c>
      <c r="BM51" s="192">
        <f t="shared" ref="BM51" si="309">BM50-BL50</f>
        <v>10</v>
      </c>
      <c r="BN51" s="192">
        <f t="shared" ref="BN51" si="310">BN50-BM50</f>
        <v>15</v>
      </c>
      <c r="BO51" s="192">
        <f t="shared" ref="BO51" si="311">BO50-BN50</f>
        <v>16</v>
      </c>
      <c r="BP51" s="191">
        <f>BP50-BK50</f>
        <v>46</v>
      </c>
      <c r="BQ51" s="192">
        <f>BQ50-BP50</f>
        <v>7</v>
      </c>
      <c r="BR51" s="192">
        <f t="shared" ref="BR51" si="312">BR50-BQ50</f>
        <v>4</v>
      </c>
      <c r="BS51" s="192">
        <f t="shared" ref="BS51" si="313">BS50-BR50</f>
        <v>11</v>
      </c>
      <c r="BT51" s="192">
        <f t="shared" ref="BT51" si="314">BT50-BS50</f>
        <v>14</v>
      </c>
      <c r="BU51" s="191">
        <f>BU50-BP50</f>
        <v>36</v>
      </c>
      <c r="BV51" s="192">
        <f>BV50-BU50</f>
        <v>15</v>
      </c>
      <c r="BW51" s="192">
        <f t="shared" ref="BW51" si="315">BW50-BV50</f>
        <v>5</v>
      </c>
      <c r="BX51" s="192">
        <f t="shared" ref="BX51" si="316">BX50-BW50</f>
        <v>20</v>
      </c>
      <c r="BY51" s="192">
        <f t="shared" ref="BY51" si="317">BY50-BX50</f>
        <v>14</v>
      </c>
      <c r="BZ51" s="191">
        <f>BZ50-BU50</f>
        <v>54</v>
      </c>
      <c r="CA51" s="192">
        <f>CA50-BZ50</f>
        <v>2</v>
      </c>
      <c r="CB51" s="192">
        <f t="shared" ref="CB51" si="318">CB50-CA50</f>
        <v>17</v>
      </c>
      <c r="CC51" s="192">
        <f t="shared" ref="CC51" si="319">CC50-CB50</f>
        <v>9</v>
      </c>
      <c r="CD51" s="192">
        <f t="shared" ref="CD51" si="320">CD50-CC50</f>
        <v>6</v>
      </c>
      <c r="CE51" s="191">
        <f>CE50-BZ50</f>
        <v>34</v>
      </c>
      <c r="CF51" s="192">
        <f>CF50-CE50</f>
        <v>2</v>
      </c>
      <c r="CG51" s="192">
        <f t="shared" ref="CG51" si="321">CG50-CF50</f>
        <v>11</v>
      </c>
      <c r="CH51" s="192">
        <f t="shared" ref="CH51" si="322">CH50-CG50</f>
        <v>18</v>
      </c>
      <c r="CI51" s="192">
        <f t="shared" ref="CI51" si="323">CI50-CH50</f>
        <v>22</v>
      </c>
      <c r="CJ51" s="191">
        <f>CJ50-CE50</f>
        <v>53</v>
      </c>
      <c r="CK51" s="192">
        <f>CK50-CJ50</f>
        <v>5</v>
      </c>
      <c r="CL51" s="192">
        <f t="shared" ref="CL51" si="324">CL50-CK50</f>
        <v>21</v>
      </c>
      <c r="CM51" s="192">
        <f t="shared" ref="CM51" si="325">CM50-CL50</f>
        <v>23</v>
      </c>
      <c r="CN51" s="192">
        <f t="shared" ref="CN51" si="326">CN50-CM50</f>
        <v>32</v>
      </c>
      <c r="CO51" s="191">
        <f>CO50-CJ50</f>
        <v>81</v>
      </c>
      <c r="CP51" s="192">
        <f>CP50-CO50</f>
        <v>7</v>
      </c>
      <c r="CQ51" s="192">
        <f t="shared" ref="CQ51" si="327">CQ50-CP50</f>
        <v>10</v>
      </c>
      <c r="CR51" s="192">
        <f t="shared" ref="CR51" si="328">CR50-CQ50</f>
        <v>14</v>
      </c>
      <c r="CS51" s="192">
        <f t="shared" ref="CS51" si="329">CS50-CR50</f>
        <v>25</v>
      </c>
      <c r="CT51" s="191">
        <f>CT50-CO50</f>
        <v>56</v>
      </c>
      <c r="CU51" s="192">
        <f>CU50-CT50</f>
        <v>0</v>
      </c>
      <c r="CV51" s="192">
        <f t="shared" ref="CV51" si="330">CV50-CU50</f>
        <v>10</v>
      </c>
      <c r="CW51" s="192">
        <f t="shared" ref="CW51" si="331">CW50-CV50</f>
        <v>28</v>
      </c>
      <c r="CX51" s="192">
        <f t="shared" ref="CX51" si="332">CX50-CW50</f>
        <v>18</v>
      </c>
      <c r="CY51" s="191">
        <f>CY50-CT50</f>
        <v>56</v>
      </c>
      <c r="CZ51" s="192">
        <f>CZ50-CY50</f>
        <v>3</v>
      </c>
      <c r="DA51" s="192">
        <f t="shared" ref="DA51:DB51" si="333">DA50-CZ50</f>
        <v>14</v>
      </c>
      <c r="DB51" s="192">
        <f t="shared" si="333"/>
        <v>12</v>
      </c>
      <c r="DC51" s="192">
        <f t="shared" ref="DC51" si="334">DC50-DB50</f>
        <v>15</v>
      </c>
      <c r="DD51" s="191">
        <f>DD50-CY50</f>
        <v>44</v>
      </c>
      <c r="DE51" s="192">
        <f>DE50-DD50</f>
        <v>5</v>
      </c>
      <c r="DF51" s="192">
        <f t="shared" ref="DF51" si="335">DF50-DE50</f>
        <v>9</v>
      </c>
      <c r="DG51" s="192">
        <f t="shared" ref="DG51" si="336">DG50-DF50</f>
        <v>10</v>
      </c>
      <c r="DH51" s="192">
        <f t="shared" ref="DH51" si="337">DH50-DG50</f>
        <v>11</v>
      </c>
      <c r="DI51" s="191">
        <f>DI50-DD50</f>
        <v>35</v>
      </c>
      <c r="DJ51" s="192">
        <f>DJ50-DI50</f>
        <v>1</v>
      </c>
      <c r="DK51" s="192">
        <f t="shared" ref="DK51" si="338">DK50-DJ50</f>
        <v>9</v>
      </c>
      <c r="DL51" s="192">
        <f t="shared" ref="DL51" si="339">DL50-DK50</f>
        <v>9</v>
      </c>
      <c r="DM51" s="192">
        <f t="shared" ref="DM51" si="340">DM50-DL50</f>
        <v>12</v>
      </c>
      <c r="DN51" s="191">
        <f>DN50-DI50</f>
        <v>31</v>
      </c>
      <c r="DO51" s="192">
        <f>DO50-DN50</f>
        <v>1</v>
      </c>
      <c r="DP51" s="192">
        <f t="shared" ref="DP51" si="341">DP50-DO50</f>
        <v>9</v>
      </c>
      <c r="DQ51" s="192">
        <f t="shared" ref="DQ51" si="342">DQ50-DP50</f>
        <v>9</v>
      </c>
      <c r="DR51" s="192">
        <f t="shared" ref="DR51" si="343">DR50-DQ50</f>
        <v>12</v>
      </c>
      <c r="DS51" s="191">
        <f>DS50-DN50</f>
        <v>31</v>
      </c>
    </row>
    <row r="52" s="90" customFormat="1" spans="2:123">
      <c r="B52" s="193" t="s">
        <v>306</v>
      </c>
      <c r="C52" s="194"/>
      <c r="D52" s="195"/>
      <c r="E52" s="195"/>
      <c r="F52" s="195"/>
      <c r="G52" s="195"/>
      <c r="H52" s="194"/>
      <c r="I52" s="195"/>
      <c r="J52" s="195"/>
      <c r="K52" s="195"/>
      <c r="L52" s="195"/>
      <c r="M52" s="194"/>
      <c r="N52" s="195"/>
      <c r="O52" s="195"/>
      <c r="P52" s="195"/>
      <c r="Q52" s="755" t="s">
        <v>208</v>
      </c>
      <c r="R52" s="756" t="s">
        <v>208</v>
      </c>
      <c r="S52" s="195">
        <f>AVERAGE(R50:S50)</f>
        <v>72.5</v>
      </c>
      <c r="T52" s="195">
        <f t="shared" ref="T52:V52" si="344">AVERAGE(S50:T50)</f>
        <v>77</v>
      </c>
      <c r="U52" s="195">
        <f t="shared" si="344"/>
        <v>89</v>
      </c>
      <c r="V52" s="195">
        <f t="shared" si="344"/>
        <v>100.5</v>
      </c>
      <c r="W52" s="194">
        <f>AVERAGE(S50:V50)</f>
        <v>88.75</v>
      </c>
      <c r="X52" s="195">
        <f>AVERAGE(W50:X50)</f>
        <v>103</v>
      </c>
      <c r="Y52" s="195">
        <f t="shared" ref="Y52:AA52" si="345">AVERAGE(X50:Y50)</f>
        <v>103.5</v>
      </c>
      <c r="Z52" s="195">
        <f t="shared" si="345"/>
        <v>105</v>
      </c>
      <c r="AA52" s="195">
        <f t="shared" si="345"/>
        <v>108</v>
      </c>
      <c r="AB52" s="194">
        <f>AVERAGE(X50:AA50)</f>
        <v>105.75</v>
      </c>
      <c r="AC52" s="195">
        <f>AVERAGE(AB50:AC50)</f>
        <v>110.5</v>
      </c>
      <c r="AD52" s="195">
        <f t="shared" ref="AD52:AF52" si="346">AVERAGE(AC50:AD50)</f>
        <v>117</v>
      </c>
      <c r="AE52" s="195">
        <f t="shared" si="346"/>
        <v>125</v>
      </c>
      <c r="AF52" s="195">
        <f t="shared" si="346"/>
        <v>129</v>
      </c>
      <c r="AG52" s="194">
        <f>AVERAGE(AC50:AF50)</f>
        <v>123</v>
      </c>
      <c r="AH52" s="195">
        <f>AVERAGE(AG50:AH50)</f>
        <v>133</v>
      </c>
      <c r="AI52" s="195">
        <f t="shared" ref="AI52:AK52" si="347">AVERAGE(AH50:AI50)</f>
        <v>139.5</v>
      </c>
      <c r="AJ52" s="195">
        <f t="shared" si="347"/>
        <v>153</v>
      </c>
      <c r="AK52" s="195">
        <f t="shared" si="347"/>
        <v>165.5</v>
      </c>
      <c r="AL52" s="194">
        <f>AVERAGE(AH50:AK50)</f>
        <v>152.5</v>
      </c>
      <c r="AM52" s="195">
        <f>AVERAGE(AL50:AM50)</f>
        <v>171</v>
      </c>
      <c r="AN52" s="195">
        <f t="shared" ref="AN52:AP52" si="348">AVERAGE(AM50:AN50)</f>
        <v>177.5</v>
      </c>
      <c r="AO52" s="195">
        <f t="shared" si="348"/>
        <v>188</v>
      </c>
      <c r="AP52" s="195">
        <f t="shared" si="348"/>
        <v>198.5</v>
      </c>
      <c r="AQ52" s="194">
        <f>AVERAGE(AM50:AP50)</f>
        <v>188</v>
      </c>
      <c r="AR52" s="195">
        <f>AVERAGE(AQ50:AR50)</f>
        <v>206.5</v>
      </c>
      <c r="AS52" s="195">
        <f t="shared" ref="AS52:AU52" si="349">AVERAGE(AR50:AS50)</f>
        <v>213.5</v>
      </c>
      <c r="AT52" s="195">
        <f t="shared" si="349"/>
        <v>226.5</v>
      </c>
      <c r="AU52" s="195">
        <f t="shared" si="349"/>
        <v>239</v>
      </c>
      <c r="AV52" s="194">
        <f>AVERAGE(AR50:AU50)</f>
        <v>226.25</v>
      </c>
      <c r="AW52" s="195">
        <f>AVERAGE(AV50:AW50)</f>
        <v>244.5</v>
      </c>
      <c r="AX52" s="195">
        <f t="shared" ref="AX52:AZ52" si="350">AVERAGE(AW50:AX50)</f>
        <v>249.5</v>
      </c>
      <c r="AY52" s="195">
        <f t="shared" si="350"/>
        <v>260</v>
      </c>
      <c r="AZ52" s="195">
        <f t="shared" si="350"/>
        <v>274</v>
      </c>
      <c r="BA52" s="194">
        <f>AVERAGE(AW50:AZ50)</f>
        <v>261.75</v>
      </c>
      <c r="BB52" s="195">
        <f>AVERAGE(BA50:BB50)</f>
        <v>283.5</v>
      </c>
      <c r="BC52" s="195">
        <f t="shared" ref="BC52:BE52" si="351">AVERAGE(BB50:BC50)</f>
        <v>294</v>
      </c>
      <c r="BD52" s="195">
        <f t="shared" si="351"/>
        <v>307</v>
      </c>
      <c r="BE52" s="195">
        <f t="shared" si="351"/>
        <v>316.5</v>
      </c>
      <c r="BF52" s="194">
        <f>AVERAGE(BB50:BE50)</f>
        <v>305.25</v>
      </c>
      <c r="BG52" s="195">
        <f>AVERAGE(BF50:BG50)</f>
        <v>322</v>
      </c>
      <c r="BH52" s="195">
        <f t="shared" ref="BH52:BJ52" si="352">AVERAGE(BG50:BH50)</f>
        <v>325.5</v>
      </c>
      <c r="BI52" s="195">
        <f t="shared" si="352"/>
        <v>331</v>
      </c>
      <c r="BJ52" s="195">
        <f t="shared" si="352"/>
        <v>343</v>
      </c>
      <c r="BK52" s="194">
        <f>AVERAGE(BG50:BJ50)</f>
        <v>334.25</v>
      </c>
      <c r="BL52" s="195">
        <f>AVERAGE(BK50:BL50)</f>
        <v>353.5</v>
      </c>
      <c r="BM52" s="195">
        <f t="shared" ref="BM52:BO52" si="353">AVERAGE(BL50:BM50)</f>
        <v>361</v>
      </c>
      <c r="BN52" s="195">
        <f t="shared" si="353"/>
        <v>373.5</v>
      </c>
      <c r="BO52" s="195">
        <f t="shared" si="353"/>
        <v>389</v>
      </c>
      <c r="BP52" s="194">
        <f>AVERAGE(BL50:BO50)</f>
        <v>375</v>
      </c>
      <c r="BQ52" s="195">
        <f>AVERAGE(BP50:BQ50)</f>
        <v>400.5</v>
      </c>
      <c r="BR52" s="195">
        <f t="shared" ref="BR52:BT52" si="354">AVERAGE(BQ50:BR50)</f>
        <v>406</v>
      </c>
      <c r="BS52" s="195">
        <f t="shared" si="354"/>
        <v>413.5</v>
      </c>
      <c r="BT52" s="195">
        <f t="shared" si="354"/>
        <v>426</v>
      </c>
      <c r="BU52" s="194">
        <f>AVERAGE(BQ50:BT50)</f>
        <v>416</v>
      </c>
      <c r="BV52" s="195">
        <f>AVERAGE(BU50:BV50)</f>
        <v>440.5</v>
      </c>
      <c r="BW52" s="195">
        <f t="shared" ref="BW52:BY52" si="355">AVERAGE(BV50:BW50)</f>
        <v>450.5</v>
      </c>
      <c r="BX52" s="195">
        <f t="shared" si="355"/>
        <v>463</v>
      </c>
      <c r="BY52" s="195">
        <f t="shared" si="355"/>
        <v>480</v>
      </c>
      <c r="BZ52" s="194">
        <f>AVERAGE(BV50:BY50)</f>
        <v>465.25</v>
      </c>
      <c r="CA52" s="195">
        <f>AVERAGE(BZ50:CA50)</f>
        <v>488</v>
      </c>
      <c r="CB52" s="195">
        <f t="shared" ref="CB52:CD52" si="356">AVERAGE(CA50:CB50)</f>
        <v>497.5</v>
      </c>
      <c r="CC52" s="195">
        <f t="shared" si="356"/>
        <v>510.5</v>
      </c>
      <c r="CD52" s="195">
        <f t="shared" si="356"/>
        <v>518</v>
      </c>
      <c r="CE52" s="194">
        <f>AVERAGE(CA50:CD50)</f>
        <v>507.75</v>
      </c>
      <c r="CF52" s="195">
        <f>AVERAGE(CE50:CF50)</f>
        <v>522</v>
      </c>
      <c r="CG52" s="195">
        <f t="shared" ref="CG52:CI52" si="357">AVERAGE(CF50:CG50)</f>
        <v>528.5</v>
      </c>
      <c r="CH52" s="195">
        <f t="shared" si="357"/>
        <v>543</v>
      </c>
      <c r="CI52" s="195">
        <f t="shared" si="357"/>
        <v>563</v>
      </c>
      <c r="CJ52" s="194">
        <f>AVERAGE(CF50:CI50)</f>
        <v>545.75</v>
      </c>
      <c r="CK52" s="195">
        <f>AVERAGE(CJ50:CK50)</f>
        <v>576.5</v>
      </c>
      <c r="CL52" s="195">
        <f t="shared" ref="CL52:CN52" si="358">AVERAGE(CK50:CL50)</f>
        <v>589.5</v>
      </c>
      <c r="CM52" s="195">
        <f t="shared" si="358"/>
        <v>611.5</v>
      </c>
      <c r="CN52" s="195">
        <f t="shared" si="358"/>
        <v>639</v>
      </c>
      <c r="CO52" s="194">
        <f>AVERAGE(CK50:CN50)</f>
        <v>614.25</v>
      </c>
      <c r="CP52" s="195">
        <f>AVERAGE(CO50:CP50)</f>
        <v>658.5</v>
      </c>
      <c r="CQ52" s="195">
        <f t="shared" ref="CQ52:CS52" si="359">AVERAGE(CP50:CQ50)</f>
        <v>667</v>
      </c>
      <c r="CR52" s="195">
        <f t="shared" si="359"/>
        <v>679</v>
      </c>
      <c r="CS52" s="195">
        <f t="shared" si="359"/>
        <v>698.5</v>
      </c>
      <c r="CT52" s="194">
        <f>AVERAGE(CP50:CS50)</f>
        <v>682.75</v>
      </c>
      <c r="CU52" s="195">
        <f>AVERAGE(CT50:CU50)</f>
        <v>711</v>
      </c>
      <c r="CV52" s="195">
        <f t="shared" ref="CV52:CX52" si="360">AVERAGE(CU50:CV50)</f>
        <v>716</v>
      </c>
      <c r="CW52" s="195">
        <f t="shared" si="360"/>
        <v>735</v>
      </c>
      <c r="CX52" s="195">
        <f t="shared" si="360"/>
        <v>758</v>
      </c>
      <c r="CY52" s="194">
        <f>AVERAGE(CU50:CX50)</f>
        <v>737</v>
      </c>
      <c r="CZ52" s="195">
        <f>AVERAGE(CY50:CZ50)</f>
        <v>768.5</v>
      </c>
      <c r="DA52" s="195">
        <f t="shared" ref="DA52:DC52" si="361">AVERAGE(CZ50:DA50)</f>
        <v>777</v>
      </c>
      <c r="DB52" s="195">
        <f t="shared" si="361"/>
        <v>790</v>
      </c>
      <c r="DC52" s="195">
        <f t="shared" si="361"/>
        <v>803.5</v>
      </c>
      <c r="DD52" s="194">
        <f>AVERAGE(CZ50:DC50)</f>
        <v>790.25</v>
      </c>
      <c r="DE52" s="195">
        <f>AVERAGE(DD50:DE50)</f>
        <v>813.5</v>
      </c>
      <c r="DF52" s="195">
        <f t="shared" ref="DF52:DH52" si="362">AVERAGE(DE50:DF50)</f>
        <v>820.5</v>
      </c>
      <c r="DG52" s="195">
        <f t="shared" si="362"/>
        <v>830</v>
      </c>
      <c r="DH52" s="195">
        <f t="shared" si="362"/>
        <v>840.5</v>
      </c>
      <c r="DI52" s="194">
        <f>AVERAGE(DE50:DH50)</f>
        <v>830.5</v>
      </c>
      <c r="DJ52" s="195">
        <f>AVERAGE(DI50:DJ50)</f>
        <v>846.5</v>
      </c>
      <c r="DK52" s="195">
        <f t="shared" ref="DK52:DM52" si="363">AVERAGE(DJ50:DK50)</f>
        <v>851.5</v>
      </c>
      <c r="DL52" s="195">
        <f t="shared" si="363"/>
        <v>860.5</v>
      </c>
      <c r="DM52" s="195">
        <f t="shared" si="363"/>
        <v>871</v>
      </c>
      <c r="DN52" s="194">
        <f>AVERAGE(DJ50:DM50)</f>
        <v>861.25</v>
      </c>
      <c r="DO52" s="195">
        <f>AVERAGE(DN50:DO50)</f>
        <v>877.5</v>
      </c>
      <c r="DP52" s="195">
        <f t="shared" ref="DP52" si="364">AVERAGE(DO50:DP50)</f>
        <v>882.5</v>
      </c>
      <c r="DQ52" s="195">
        <f t="shared" ref="DQ52" si="365">AVERAGE(DP50:DQ50)</f>
        <v>891.5</v>
      </c>
      <c r="DR52" s="195">
        <f t="shared" ref="DR52" si="366">AVERAGE(DQ50:DR50)</f>
        <v>902</v>
      </c>
      <c r="DS52" s="194">
        <f>AVERAGE(DO50:DR50)</f>
        <v>892.25</v>
      </c>
    </row>
    <row r="53" s="1" customFormat="1" spans="2:123">
      <c r="B53" s="174" t="s">
        <v>307</v>
      </c>
      <c r="C53" s="67"/>
      <c r="D53" s="196"/>
      <c r="E53" s="196"/>
      <c r="F53" s="196"/>
      <c r="G53" s="196"/>
      <c r="H53" s="67"/>
      <c r="I53" s="196"/>
      <c r="J53" s="196"/>
      <c r="K53" s="196"/>
      <c r="L53" s="196"/>
      <c r="M53" s="67"/>
      <c r="N53" s="196"/>
      <c r="O53" s="196"/>
      <c r="P53" s="196"/>
      <c r="Q53" s="757" t="s">
        <v>208</v>
      </c>
      <c r="R53" s="758" t="s">
        <v>208</v>
      </c>
      <c r="S53" s="757" t="s">
        <v>208</v>
      </c>
      <c r="T53" s="757" t="s">
        <v>208</v>
      </c>
      <c r="U53" s="757" t="s">
        <v>208</v>
      </c>
      <c r="V53" s="757" t="s">
        <v>208</v>
      </c>
      <c r="W53" s="758" t="s">
        <v>208</v>
      </c>
      <c r="X53" s="196">
        <f>X52/S52-1</f>
        <v>0.420689655172414</v>
      </c>
      <c r="Y53" s="196">
        <f t="shared" ref="Y53:AC53" si="367">Y52/T52-1</f>
        <v>0.344155844155844</v>
      </c>
      <c r="Z53" s="196">
        <f t="shared" si="367"/>
        <v>0.179775280898876</v>
      </c>
      <c r="AA53" s="196">
        <f t="shared" si="367"/>
        <v>0.0746268656716418</v>
      </c>
      <c r="AB53" s="67">
        <f t="shared" si="367"/>
        <v>0.191549295774648</v>
      </c>
      <c r="AC53" s="196">
        <f t="shared" si="367"/>
        <v>0.0728155339805825</v>
      </c>
      <c r="AD53" s="196">
        <f t="shared" ref="AD53" si="368">AD52/Y52-1</f>
        <v>0.130434782608696</v>
      </c>
      <c r="AE53" s="196">
        <f t="shared" ref="AE53" si="369">AE52/Z52-1</f>
        <v>0.19047619047619</v>
      </c>
      <c r="AF53" s="196">
        <f t="shared" ref="AF53" si="370">AF52/AA52-1</f>
        <v>0.194444444444444</v>
      </c>
      <c r="AG53" s="67">
        <f t="shared" ref="AG53:AH53" si="371">AG52/AB52-1</f>
        <v>0.163120567375886</v>
      </c>
      <c r="AH53" s="196">
        <f t="shared" si="371"/>
        <v>0.203619909502262</v>
      </c>
      <c r="AI53" s="196">
        <f t="shared" ref="AI53" si="372">AI52/AD52-1</f>
        <v>0.192307692307692</v>
      </c>
      <c r="AJ53" s="196">
        <f t="shared" ref="AJ53" si="373">AJ52/AE52-1</f>
        <v>0.224</v>
      </c>
      <c r="AK53" s="196">
        <f t="shared" ref="AK53" si="374">AK52/AF52-1</f>
        <v>0.282945736434109</v>
      </c>
      <c r="AL53" s="67">
        <f t="shared" ref="AL53:AM53" si="375">AL52/AG52-1</f>
        <v>0.239837398373984</v>
      </c>
      <c r="AM53" s="196">
        <f t="shared" si="375"/>
        <v>0.285714285714286</v>
      </c>
      <c r="AN53" s="196">
        <f t="shared" ref="AN53" si="376">AN52/AI52-1</f>
        <v>0.272401433691756</v>
      </c>
      <c r="AO53" s="196">
        <f t="shared" ref="AO53" si="377">AO52/AJ52-1</f>
        <v>0.228758169934641</v>
      </c>
      <c r="AP53" s="196">
        <f t="shared" ref="AP53" si="378">AP52/AK52-1</f>
        <v>0.199395770392749</v>
      </c>
      <c r="AQ53" s="67">
        <f t="shared" ref="AQ53:AR53" si="379">AQ52/AL52-1</f>
        <v>0.232786885245902</v>
      </c>
      <c r="AR53" s="196">
        <f t="shared" si="379"/>
        <v>0.207602339181286</v>
      </c>
      <c r="AS53" s="196">
        <f t="shared" ref="AS53" si="380">AS52/AN52-1</f>
        <v>0.202816901408451</v>
      </c>
      <c r="AT53" s="196">
        <f t="shared" ref="AT53" si="381">AT52/AO52-1</f>
        <v>0.204787234042553</v>
      </c>
      <c r="AU53" s="196">
        <f t="shared" ref="AU53" si="382">AU52/AP52-1</f>
        <v>0.204030226700252</v>
      </c>
      <c r="AV53" s="67">
        <f t="shared" ref="AV53:AW53" si="383">AV52/AQ52-1</f>
        <v>0.203457446808511</v>
      </c>
      <c r="AW53" s="196">
        <f t="shared" si="383"/>
        <v>0.184019370460048</v>
      </c>
      <c r="AX53" s="196">
        <f t="shared" ref="AX53" si="384">AX52/AS52-1</f>
        <v>0.168618266978923</v>
      </c>
      <c r="AY53" s="196">
        <f t="shared" ref="AY53" si="385">AY52/AT52-1</f>
        <v>0.147902869757174</v>
      </c>
      <c r="AZ53" s="196">
        <f t="shared" ref="AZ53" si="386">AZ52/AU52-1</f>
        <v>0.146443514644351</v>
      </c>
      <c r="BA53" s="67">
        <f t="shared" ref="BA53:BB53" si="387">BA52/AV52-1</f>
        <v>0.156906077348066</v>
      </c>
      <c r="BB53" s="196">
        <f t="shared" si="387"/>
        <v>0.159509202453988</v>
      </c>
      <c r="BC53" s="196">
        <f t="shared" ref="BC53" si="388">BC52/AX52-1</f>
        <v>0.178356713426854</v>
      </c>
      <c r="BD53" s="196">
        <f t="shared" ref="BD53" si="389">BD52/AY52-1</f>
        <v>0.180769230769231</v>
      </c>
      <c r="BE53" s="196">
        <f t="shared" ref="BE53" si="390">BE52/AZ52-1</f>
        <v>0.155109489051095</v>
      </c>
      <c r="BF53" s="67">
        <f t="shared" ref="BF53:BG53" si="391">BF52/BA52-1</f>
        <v>0.166189111747851</v>
      </c>
      <c r="BG53" s="196">
        <f t="shared" si="391"/>
        <v>0.135802469135802</v>
      </c>
      <c r="BH53" s="196">
        <f t="shared" ref="BH53" si="392">BH52/BC52-1</f>
        <v>0.107142857142857</v>
      </c>
      <c r="BI53" s="196">
        <f t="shared" ref="BI53" si="393">BI52/BD52-1</f>
        <v>0.0781758957654723</v>
      </c>
      <c r="BJ53" s="196">
        <f t="shared" ref="BJ53" si="394">BJ52/BE52-1</f>
        <v>0.0837282780410742</v>
      </c>
      <c r="BK53" s="67">
        <f t="shared" ref="BK53:BL53" si="395">BK52/BF52-1</f>
        <v>0.0950040950040949</v>
      </c>
      <c r="BL53" s="196">
        <f t="shared" si="395"/>
        <v>0.0978260869565217</v>
      </c>
      <c r="BM53" s="196">
        <f t="shared" ref="BM53" si="396">BM52/BH52-1</f>
        <v>0.109062980030722</v>
      </c>
      <c r="BN53" s="196">
        <f t="shared" ref="BN53" si="397">BN52/BI52-1</f>
        <v>0.128398791540786</v>
      </c>
      <c r="BO53" s="196">
        <f t="shared" ref="BO53" si="398">BO52/BJ52-1</f>
        <v>0.134110787172012</v>
      </c>
      <c r="BP53" s="67">
        <f t="shared" ref="BP53:BQ53" si="399">BP52/BK52-1</f>
        <v>0.121914734480179</v>
      </c>
      <c r="BQ53" s="196">
        <f t="shared" si="399"/>
        <v>0.132956152758133</v>
      </c>
      <c r="BR53" s="196">
        <f t="shared" ref="BR53" si="400">BR52/BM52-1</f>
        <v>0.124653739612188</v>
      </c>
      <c r="BS53" s="196">
        <f t="shared" ref="BS53" si="401">BS52/BN52-1</f>
        <v>0.107095046854083</v>
      </c>
      <c r="BT53" s="196">
        <f t="shared" ref="BT53" si="402">BT52/BO52-1</f>
        <v>0.0951156812339331</v>
      </c>
      <c r="BU53" s="67">
        <f t="shared" ref="BU53:BV53" si="403">BU52/BP52-1</f>
        <v>0.109333333333333</v>
      </c>
      <c r="BV53" s="196">
        <f t="shared" si="403"/>
        <v>0.0998751560549314</v>
      </c>
      <c r="BW53" s="196">
        <f t="shared" ref="BW53" si="404">BW52/BR52-1</f>
        <v>0.109605911330049</v>
      </c>
      <c r="BX53" s="196">
        <f t="shared" ref="BX53" si="405">BX52/BS52-1</f>
        <v>0.119709794437727</v>
      </c>
      <c r="BY53" s="196">
        <f t="shared" ref="BY53" si="406">BY52/BT52-1</f>
        <v>0.126760563380282</v>
      </c>
      <c r="BZ53" s="67">
        <f t="shared" ref="BZ53:CA53" si="407">BZ52/BU52-1</f>
        <v>0.118389423076923</v>
      </c>
      <c r="CA53" s="196">
        <f t="shared" si="407"/>
        <v>0.10783200908059</v>
      </c>
      <c r="CB53" s="196">
        <f t="shared" ref="CB53" si="408">CB52/BW52-1</f>
        <v>0.104328523862375</v>
      </c>
      <c r="CC53" s="196">
        <f t="shared" ref="CC53" si="409">CC52/BX52-1</f>
        <v>0.102591792656588</v>
      </c>
      <c r="CD53" s="196">
        <f t="shared" ref="CD53" si="410">CD52/BY52-1</f>
        <v>0.0791666666666666</v>
      </c>
      <c r="CE53" s="67">
        <f t="shared" ref="CE53:CF53" si="411">CE52/BZ52-1</f>
        <v>0.0913487372380442</v>
      </c>
      <c r="CF53" s="196">
        <f t="shared" si="411"/>
        <v>0.069672131147541</v>
      </c>
      <c r="CG53" s="196">
        <f t="shared" ref="CG53" si="412">CG52/CB52-1</f>
        <v>0.0623115577889448</v>
      </c>
      <c r="CH53" s="196">
        <f t="shared" ref="CH53" si="413">CH52/CC52-1</f>
        <v>0.0636630754162586</v>
      </c>
      <c r="CI53" s="196">
        <f t="shared" ref="CI53" si="414">CI52/CD52-1</f>
        <v>0.0868725868725868</v>
      </c>
      <c r="CJ53" s="67">
        <f t="shared" ref="CJ53:CK53" si="415">CJ52/CE52-1</f>
        <v>0.0748399803052684</v>
      </c>
      <c r="CK53" s="196">
        <f t="shared" si="415"/>
        <v>0.104406130268199</v>
      </c>
      <c r="CL53" s="196">
        <f t="shared" ref="CL53" si="416">CL52/CG52-1</f>
        <v>0.115421002838221</v>
      </c>
      <c r="CM53" s="196">
        <f t="shared" ref="CM53" si="417">CM52/CH52-1</f>
        <v>0.126151012891344</v>
      </c>
      <c r="CN53" s="196">
        <f t="shared" ref="CN53" si="418">CN52/CI52-1</f>
        <v>0.134991119005329</v>
      </c>
      <c r="CO53" s="67">
        <f t="shared" ref="CO53:CP53" si="419">CO52/CJ52-1</f>
        <v>0.125515345854329</v>
      </c>
      <c r="CP53" s="196">
        <f t="shared" si="419"/>
        <v>0.142237640936687</v>
      </c>
      <c r="CQ53" s="196">
        <f t="shared" ref="CQ53" si="420">CQ52/CL52-1</f>
        <v>0.131467345207803</v>
      </c>
      <c r="CR53" s="196">
        <f t="shared" ref="CR53" si="421">CR52/CM52-1</f>
        <v>0.110384300899428</v>
      </c>
      <c r="CS53" s="196">
        <f t="shared" ref="CS53" si="422">CS52/CN52-1</f>
        <v>0.0931142410015648</v>
      </c>
      <c r="CT53" s="67">
        <f t="shared" ref="CT53:CU53" si="423">CT52/CO52-1</f>
        <v>0.111518111518111</v>
      </c>
      <c r="CU53" s="196">
        <f t="shared" si="423"/>
        <v>0.0797266514806378</v>
      </c>
      <c r="CV53" s="196">
        <f t="shared" ref="CV53" si="424">CV52/CQ52-1</f>
        <v>0.0734632683658172</v>
      </c>
      <c r="CW53" s="196">
        <f t="shared" ref="CW53" si="425">CW52/CR52-1</f>
        <v>0.0824742268041236</v>
      </c>
      <c r="CX53" s="196">
        <f t="shared" ref="CX53" si="426">CX52/CS52-1</f>
        <v>0.0851825340014316</v>
      </c>
      <c r="CY53" s="67">
        <f t="shared" ref="CY53:CZ53" si="427">CY52/CT52-1</f>
        <v>0.0794580739655804</v>
      </c>
      <c r="CZ53" s="196">
        <f t="shared" si="427"/>
        <v>0.080872011251758</v>
      </c>
      <c r="DA53" s="196">
        <f t="shared" ref="DA53:DB53" si="428">DA52/CV52-1</f>
        <v>0.0851955307262571</v>
      </c>
      <c r="DB53" s="196">
        <f t="shared" si="428"/>
        <v>0.0748299319727892</v>
      </c>
      <c r="DC53" s="196">
        <f t="shared" ref="DC53" si="429">DC52/CX52-1</f>
        <v>0.0600263852242744</v>
      </c>
      <c r="DD53" s="67">
        <f t="shared" ref="DD53:DE53" si="430">DD52/CY52-1</f>
        <v>0.0722523744911805</v>
      </c>
      <c r="DE53" s="196">
        <f t="shared" si="430"/>
        <v>0.0585556278464541</v>
      </c>
      <c r="DF53" s="196">
        <f t="shared" ref="DF53" si="431">DF52/DA52-1</f>
        <v>0.055984555984556</v>
      </c>
      <c r="DG53" s="196">
        <f t="shared" ref="DG53" si="432">DG52/DB52-1</f>
        <v>0.0506329113924051</v>
      </c>
      <c r="DH53" s="196">
        <f t="shared" ref="DH53" si="433">DH52/DC52-1</f>
        <v>0.0460485376477908</v>
      </c>
      <c r="DI53" s="67">
        <f t="shared" ref="DI53:DJ53" si="434">DI52/DD52-1</f>
        <v>0.0509332489718444</v>
      </c>
      <c r="DJ53" s="196">
        <f t="shared" si="434"/>
        <v>0.0405654578979717</v>
      </c>
      <c r="DK53" s="196">
        <f t="shared" ref="DK53" si="435">DK52/DF52-1</f>
        <v>0.0377818403412553</v>
      </c>
      <c r="DL53" s="196">
        <f t="shared" ref="DL53" si="436">DL52/DG52-1</f>
        <v>0.0367469879518072</v>
      </c>
      <c r="DM53" s="196">
        <f t="shared" ref="DM53" si="437">DM52/DH52-1</f>
        <v>0.0362879238548484</v>
      </c>
      <c r="DN53" s="67">
        <f t="shared" ref="DN53:DO53" si="438">DN52/DI52-1</f>
        <v>0.0370258880192655</v>
      </c>
      <c r="DO53" s="196">
        <f t="shared" si="438"/>
        <v>0.0366213821618429</v>
      </c>
      <c r="DP53" s="196">
        <f t="shared" ref="DP53" si="439">DP52/DK52-1</f>
        <v>0.0364063417498532</v>
      </c>
      <c r="DQ53" s="196">
        <f t="shared" ref="DQ53" si="440">DQ52/DL52-1</f>
        <v>0.0360255665310867</v>
      </c>
      <c r="DR53" s="196">
        <f t="shared" ref="DR53" si="441">DR52/DM52-1</f>
        <v>0.0355912743972446</v>
      </c>
      <c r="DS53" s="67">
        <f t="shared" ref="DS53" si="442">DS52/DN52-1</f>
        <v>0.0359941944847606</v>
      </c>
    </row>
    <row r="54" spans="2:123">
      <c r="B54" s="33"/>
      <c r="C54" s="119"/>
      <c r="D54" s="120"/>
      <c r="E54" s="120"/>
      <c r="F54" s="120"/>
      <c r="G54" s="120"/>
      <c r="H54" s="119"/>
      <c r="I54" s="120"/>
      <c r="J54" s="120"/>
      <c r="K54" s="120"/>
      <c r="L54" s="120"/>
      <c r="M54" s="119"/>
      <c r="N54" s="120"/>
      <c r="O54" s="120"/>
      <c r="P54" s="120"/>
      <c r="Q54" s="120"/>
      <c r="R54" s="119"/>
      <c r="S54" s="120"/>
      <c r="T54" s="120"/>
      <c r="U54" s="120"/>
      <c r="V54" s="120"/>
      <c r="W54" s="119"/>
      <c r="X54" s="120"/>
      <c r="Y54" s="120"/>
      <c r="Z54" s="120"/>
      <c r="AA54" s="120"/>
      <c r="AB54" s="119"/>
      <c r="AC54" s="120"/>
      <c r="AD54" s="120"/>
      <c r="AE54" s="120"/>
      <c r="AF54" s="120"/>
      <c r="AG54" s="119"/>
      <c r="AH54" s="120"/>
      <c r="AI54" s="120"/>
      <c r="AJ54" s="120"/>
      <c r="AK54" s="120"/>
      <c r="AL54" s="119"/>
      <c r="AM54" s="120"/>
      <c r="AN54" s="120"/>
      <c r="AO54" s="120"/>
      <c r="AP54" s="120"/>
      <c r="AQ54" s="119"/>
      <c r="AR54" s="120"/>
      <c r="AS54" s="120"/>
      <c r="AT54" s="120"/>
      <c r="AU54" s="120"/>
      <c r="AV54" s="119"/>
      <c r="AW54" s="120"/>
      <c r="AX54" s="120"/>
      <c r="AY54" s="120"/>
      <c r="AZ54" s="120"/>
      <c r="BA54" s="119"/>
      <c r="BB54" s="120"/>
      <c r="BC54" s="120"/>
      <c r="BD54" s="120"/>
      <c r="BE54" s="120"/>
      <c r="BF54" s="119"/>
      <c r="BG54" s="120"/>
      <c r="BH54" s="120"/>
      <c r="BI54" s="120"/>
      <c r="BJ54" s="120"/>
      <c r="BK54" s="119"/>
      <c r="BL54" s="120"/>
      <c r="BM54" s="120"/>
      <c r="BN54" s="120"/>
      <c r="BO54" s="120"/>
      <c r="BP54" s="119"/>
      <c r="BQ54" s="120"/>
      <c r="BR54" s="120"/>
      <c r="BS54" s="120"/>
      <c r="BT54" s="120"/>
      <c r="BU54" s="119"/>
      <c r="BV54" s="120"/>
      <c r="BW54" s="120"/>
      <c r="BX54" s="120"/>
      <c r="BY54" s="120"/>
      <c r="BZ54" s="119"/>
      <c r="CA54" s="120"/>
      <c r="CB54" s="120"/>
      <c r="CC54" s="120"/>
      <c r="CD54" s="120"/>
      <c r="CE54" s="119"/>
      <c r="CF54" s="120"/>
      <c r="CG54" s="120"/>
      <c r="CH54" s="120"/>
      <c r="CI54" s="120"/>
      <c r="CJ54" s="119"/>
      <c r="CK54" s="120"/>
      <c r="CL54" s="120"/>
      <c r="CM54" s="120"/>
      <c r="CN54" s="120"/>
      <c r="CO54" s="119"/>
      <c r="CP54" s="120"/>
      <c r="CQ54" s="120"/>
      <c r="CR54" s="120"/>
      <c r="CS54" s="120"/>
      <c r="CT54" s="119"/>
      <c r="CU54" s="120"/>
      <c r="CV54" s="120"/>
      <c r="CW54" s="120"/>
      <c r="CX54" s="120"/>
      <c r="CY54" s="119"/>
      <c r="CZ54" s="120"/>
      <c r="DA54" s="120"/>
      <c r="DB54" s="197"/>
      <c r="DC54" s="197"/>
      <c r="DD54" s="119"/>
      <c r="DE54" s="197"/>
      <c r="DF54" s="197"/>
      <c r="DG54" s="197"/>
      <c r="DH54" s="197"/>
      <c r="DI54" s="119"/>
      <c r="DJ54" s="197"/>
      <c r="DK54" s="197"/>
      <c r="DL54" s="197"/>
      <c r="DM54" s="197"/>
      <c r="DN54" s="119"/>
      <c r="DO54" s="197"/>
      <c r="DP54" s="197"/>
      <c r="DQ54" s="197"/>
      <c r="DR54" s="197"/>
      <c r="DS54" s="119"/>
    </row>
    <row r="55" s="3" customFormat="1" spans="2:123">
      <c r="B55" s="198" t="s">
        <v>308</v>
      </c>
      <c r="C55" s="199">
        <v>0.035966</v>
      </c>
      <c r="D55" s="197">
        <v>0.044632</v>
      </c>
      <c r="E55" s="197">
        <v>0.04787</v>
      </c>
      <c r="F55" s="197">
        <v>0.054401</v>
      </c>
      <c r="G55" s="197">
        <v>0.071913</v>
      </c>
      <c r="H55" s="199">
        <f>G55</f>
        <v>0.071913</v>
      </c>
      <c r="I55" s="197">
        <v>0.083835</v>
      </c>
      <c r="J55" s="197">
        <v>0.090612</v>
      </c>
      <c r="K55" s="197">
        <v>0.103366</v>
      </c>
      <c r="L55" s="197">
        <v>0.11652</v>
      </c>
      <c r="M55" s="199">
        <f>L55</f>
        <v>0.11652</v>
      </c>
      <c r="N55" s="197">
        <v>0.13152</v>
      </c>
      <c r="O55" s="197">
        <v>0.15152</v>
      </c>
      <c r="P55" s="197">
        <v>0.16902</v>
      </c>
      <c r="Q55" s="197">
        <v>0.18652</v>
      </c>
      <c r="R55" s="199">
        <f>Q55</f>
        <v>0.18652</v>
      </c>
      <c r="S55" s="197">
        <v>0.20152</v>
      </c>
      <c r="T55" s="197">
        <v>0.23152</v>
      </c>
      <c r="U55" s="197">
        <v>0.27402</v>
      </c>
      <c r="V55" s="197">
        <v>0.27402</v>
      </c>
      <c r="W55" s="199">
        <f>V55</f>
        <v>0.27402</v>
      </c>
      <c r="X55" s="197">
        <v>0.27402</v>
      </c>
      <c r="Y55" s="197">
        <v>0.27682</v>
      </c>
      <c r="Z55" s="197">
        <v>0.28242</v>
      </c>
      <c r="AA55" s="197">
        <v>0.316</v>
      </c>
      <c r="AB55" s="199">
        <f>AA55</f>
        <v>0.316</v>
      </c>
      <c r="AC55" s="197">
        <v>0.325</v>
      </c>
      <c r="AD55" s="197">
        <v>0.35</v>
      </c>
      <c r="AE55" s="197">
        <v>0.364</v>
      </c>
      <c r="AF55" s="197">
        <v>0.374</v>
      </c>
      <c r="AG55" s="199">
        <f>AF55</f>
        <v>0.374</v>
      </c>
      <c r="AH55" s="197">
        <v>0.386</v>
      </c>
      <c r="AI55" s="197">
        <v>0.416</v>
      </c>
      <c r="AJ55" s="197">
        <v>0.47</v>
      </c>
      <c r="AK55" s="197">
        <v>0.494</v>
      </c>
      <c r="AL55" s="199">
        <f>AK55</f>
        <v>0.494</v>
      </c>
      <c r="AM55" s="197">
        <v>0.508</v>
      </c>
      <c r="AN55" s="197">
        <v>0.538</v>
      </c>
      <c r="AO55" s="197">
        <v>0.573</v>
      </c>
      <c r="AP55" s="200">
        <v>0.602</v>
      </c>
      <c r="AQ55" s="199">
        <f>AP55</f>
        <v>0.602</v>
      </c>
      <c r="AR55" s="200">
        <v>0.627</v>
      </c>
      <c r="AS55" s="200">
        <v>0.654</v>
      </c>
      <c r="AT55" s="200">
        <v>0.718</v>
      </c>
      <c r="AU55" s="200">
        <v>0.74</v>
      </c>
      <c r="AV55" s="199">
        <f>AU55</f>
        <v>0.74</v>
      </c>
      <c r="AW55" s="197">
        <v>0.764</v>
      </c>
      <c r="AX55" s="200">
        <v>0.787</v>
      </c>
      <c r="AY55" s="200">
        <v>0.848</v>
      </c>
      <c r="AZ55" s="200">
        <v>0.888</v>
      </c>
      <c r="BA55" s="199">
        <f>AZ55</f>
        <v>0.888</v>
      </c>
      <c r="BB55" s="200">
        <v>0.931</v>
      </c>
      <c r="BC55" s="200">
        <v>0.985</v>
      </c>
      <c r="BD55" s="200">
        <v>1.036</v>
      </c>
      <c r="BE55" s="200">
        <v>1.071</v>
      </c>
      <c r="BF55" s="199">
        <f>BE55</f>
        <v>1.071</v>
      </c>
      <c r="BG55" s="200">
        <v>1.095</v>
      </c>
      <c r="BH55" s="200">
        <v>1.117</v>
      </c>
      <c r="BI55" s="200">
        <v>1.144</v>
      </c>
      <c r="BJ55" s="200">
        <v>1.19</v>
      </c>
      <c r="BK55" s="199">
        <f>BJ55</f>
        <v>1.19</v>
      </c>
      <c r="BL55" s="200">
        <v>1.204</v>
      </c>
      <c r="BM55" s="197">
        <v>1.238</v>
      </c>
      <c r="BN55" s="197">
        <v>1.192</v>
      </c>
      <c r="BO55" s="197">
        <v>1.192</v>
      </c>
      <c r="BP55" s="199">
        <f>BO55</f>
        <v>1.192</v>
      </c>
      <c r="BQ55" s="200">
        <v>1.277</v>
      </c>
      <c r="BR55" s="200">
        <v>1.303</v>
      </c>
      <c r="BS55" s="200">
        <v>1.354</v>
      </c>
      <c r="BT55" s="200">
        <v>1.426</v>
      </c>
      <c r="BU55" s="201">
        <f>BT55</f>
        <v>1.426</v>
      </c>
      <c r="BV55" s="200">
        <v>1.466</v>
      </c>
      <c r="BW55" s="200">
        <v>1.522</v>
      </c>
      <c r="BX55" s="200">
        <v>1.604</v>
      </c>
      <c r="BY55" s="200">
        <v>1.68</v>
      </c>
      <c r="BZ55" s="201">
        <f>BY55</f>
        <v>1.68</v>
      </c>
      <c r="CA55" s="200">
        <v>1.692</v>
      </c>
      <c r="CB55" s="200">
        <v>1.757</v>
      </c>
      <c r="CC55" s="200">
        <v>1.808</v>
      </c>
      <c r="CD55" s="200">
        <v>1.858</v>
      </c>
      <c r="CE55" s="199">
        <f>CD55</f>
        <v>1.858</v>
      </c>
      <c r="CF55" s="200">
        <v>1.862</v>
      </c>
      <c r="CG55" s="200">
        <v>1.905</v>
      </c>
      <c r="CH55" s="200">
        <v>2.002</v>
      </c>
      <c r="CI55" s="200">
        <v>2.125</v>
      </c>
      <c r="CJ55" s="199">
        <f>CI55</f>
        <v>2.125</v>
      </c>
      <c r="CK55" s="202">
        <v>2.155</v>
      </c>
      <c r="CL55" s="202">
        <v>2.258</v>
      </c>
      <c r="CM55" s="202">
        <v>2.39</v>
      </c>
      <c r="CN55" s="202">
        <v>2.575</v>
      </c>
      <c r="CO55" s="203">
        <f>CN55</f>
        <v>2.575</v>
      </c>
      <c r="CP55" s="202">
        <v>2.632</v>
      </c>
      <c r="CQ55" s="202">
        <v>2.691</v>
      </c>
      <c r="CR55" s="202">
        <v>2.797</v>
      </c>
      <c r="CS55" s="202">
        <v>2.967</v>
      </c>
      <c r="CT55" s="203">
        <f>CS55</f>
        <v>2.967</v>
      </c>
      <c r="CU55" s="202">
        <v>2.988</v>
      </c>
      <c r="CV55" s="202">
        <v>3.075</v>
      </c>
      <c r="CW55" s="202">
        <v>3.231</v>
      </c>
      <c r="CX55" s="202">
        <v>3.372</v>
      </c>
      <c r="CY55" s="203">
        <f>CX55</f>
        <v>3.372</v>
      </c>
      <c r="CZ55" s="202">
        <v>3.415</v>
      </c>
      <c r="DA55" s="202">
        <v>3.511</v>
      </c>
      <c r="DB55" s="202">
        <v>3.63</v>
      </c>
      <c r="DC55" s="202">
        <v>3.736</v>
      </c>
      <c r="DD55" s="203">
        <f>DC55</f>
        <v>3.736</v>
      </c>
      <c r="DE55" s="202">
        <v>3.788</v>
      </c>
      <c r="DF55" s="202">
        <v>3.88</v>
      </c>
      <c r="DG55" s="202">
        <f t="shared" ref="DG55:DH55" si="443">DG56*2-DF55</f>
        <v>3.99769810126582</v>
      </c>
      <c r="DH55" s="202">
        <f t="shared" si="443"/>
        <v>4.09275510346349</v>
      </c>
      <c r="DI55" s="203">
        <f>DH55</f>
        <v>4.09275510346349</v>
      </c>
      <c r="DJ55" s="202">
        <f t="shared" ref="DJ55:DM55" si="444">DJ56*2-DI55</f>
        <v>4.12792012702207</v>
      </c>
      <c r="DK55" s="202">
        <f t="shared" si="444"/>
        <v>4.22767658230151</v>
      </c>
      <c r="DL55" s="202">
        <f t="shared" si="444"/>
        <v>4.34786218510355</v>
      </c>
      <c r="DM55" s="202">
        <f t="shared" si="444"/>
        <v>4.45537871719887</v>
      </c>
      <c r="DN55" s="203">
        <f>DM55</f>
        <v>4.45537871719887</v>
      </c>
      <c r="DO55" s="202">
        <f t="shared" ref="DO55" si="445">DO56*2-DN55</f>
        <v>4.49243538851717</v>
      </c>
      <c r="DP55" s="202">
        <f t="shared" ref="DP55" si="446">DP56*2-DO55</f>
        <v>4.60034770106236</v>
      </c>
      <c r="DQ55" s="202">
        <f t="shared" ref="DQ55" si="447">DQ56*2-DP55</f>
        <v>4.72835357923828</v>
      </c>
      <c r="DR55" s="202">
        <f t="shared" ref="DR55" si="448">DR56*2-DQ55</f>
        <v>4.84403385884511</v>
      </c>
      <c r="DS55" s="203">
        <f>DR55</f>
        <v>4.84403385884511</v>
      </c>
    </row>
    <row r="56" s="3" customFormat="1" spans="2:123">
      <c r="B56" s="130" t="s">
        <v>309</v>
      </c>
      <c r="C56" s="759" t="s">
        <v>208</v>
      </c>
      <c r="D56" s="204">
        <f>AVERAGE(C55:D55)</f>
        <v>0.040299</v>
      </c>
      <c r="E56" s="204">
        <f t="shared" ref="E56:G56" si="449">AVERAGE(D55:E55)</f>
        <v>0.046251</v>
      </c>
      <c r="F56" s="204">
        <f t="shared" si="449"/>
        <v>0.0511355</v>
      </c>
      <c r="G56" s="204">
        <f t="shared" si="449"/>
        <v>0.063157</v>
      </c>
      <c r="H56" s="205">
        <f>AVERAGE(D55:G55)</f>
        <v>0.054704</v>
      </c>
      <c r="I56" s="204">
        <f>AVERAGE(H55:I55)</f>
        <v>0.077874</v>
      </c>
      <c r="J56" s="204">
        <f t="shared" ref="J56" si="450">AVERAGE(I55:J55)</f>
        <v>0.0872235</v>
      </c>
      <c r="K56" s="204">
        <f t="shared" ref="K56" si="451">AVERAGE(J55:K55)</f>
        <v>0.096989</v>
      </c>
      <c r="L56" s="204">
        <f t="shared" ref="L56" si="452">AVERAGE(K55:L55)</f>
        <v>0.109943</v>
      </c>
      <c r="M56" s="205">
        <f>AVERAGE(I55:L55)</f>
        <v>0.09858325</v>
      </c>
      <c r="N56" s="204">
        <f>AVERAGE(M55:N55)</f>
        <v>0.12402</v>
      </c>
      <c r="O56" s="204">
        <f t="shared" ref="O56" si="453">AVERAGE(N55:O55)</f>
        <v>0.14152</v>
      </c>
      <c r="P56" s="204">
        <f t="shared" ref="P56" si="454">AVERAGE(O55:P55)</f>
        <v>0.16027</v>
      </c>
      <c r="Q56" s="204">
        <f t="shared" ref="Q56" si="455">AVERAGE(P55:Q55)</f>
        <v>0.17777</v>
      </c>
      <c r="R56" s="205">
        <f>AVERAGE(N55:Q55)</f>
        <v>0.159645</v>
      </c>
      <c r="S56" s="204">
        <f>AVERAGE(R55:S55)</f>
        <v>0.19402</v>
      </c>
      <c r="T56" s="204">
        <f t="shared" ref="T56" si="456">AVERAGE(S55:T55)</f>
        <v>0.21652</v>
      </c>
      <c r="U56" s="204">
        <f t="shared" ref="U56" si="457">AVERAGE(T55:U55)</f>
        <v>0.25277</v>
      </c>
      <c r="V56" s="204">
        <f t="shared" ref="V56" si="458">AVERAGE(U55:V55)</f>
        <v>0.27402</v>
      </c>
      <c r="W56" s="205">
        <f>AVERAGE(S55:V55)</f>
        <v>0.24527</v>
      </c>
      <c r="X56" s="204">
        <f>AVERAGE(W55:X55)</f>
        <v>0.27402</v>
      </c>
      <c r="Y56" s="204">
        <f t="shared" ref="Y56" si="459">AVERAGE(X55:Y55)</f>
        <v>0.27542</v>
      </c>
      <c r="Z56" s="204">
        <f t="shared" ref="Z56" si="460">AVERAGE(Y55:Z55)</f>
        <v>0.27962</v>
      </c>
      <c r="AA56" s="204">
        <f t="shared" ref="AA56" si="461">AVERAGE(Z55:AA55)</f>
        <v>0.29921</v>
      </c>
      <c r="AB56" s="205">
        <f>AVERAGE(X55:AA55)</f>
        <v>0.287315</v>
      </c>
      <c r="AC56" s="204">
        <f>AVERAGE(AB55:AC55)</f>
        <v>0.3205</v>
      </c>
      <c r="AD56" s="204">
        <f t="shared" ref="AD56" si="462">AVERAGE(AC55:AD55)</f>
        <v>0.3375</v>
      </c>
      <c r="AE56" s="204">
        <f t="shared" ref="AE56" si="463">AVERAGE(AD55:AE55)</f>
        <v>0.357</v>
      </c>
      <c r="AF56" s="204">
        <f t="shared" ref="AF56" si="464">AVERAGE(AE55:AF55)</f>
        <v>0.369</v>
      </c>
      <c r="AG56" s="205">
        <f>AVERAGE(AC55:AF55)</f>
        <v>0.35325</v>
      </c>
      <c r="AH56" s="204">
        <f>AVERAGE(AG55:AH55)</f>
        <v>0.38</v>
      </c>
      <c r="AI56" s="204">
        <f t="shared" ref="AI56" si="465">AVERAGE(AH55:AI55)</f>
        <v>0.401</v>
      </c>
      <c r="AJ56" s="204">
        <f t="shared" ref="AJ56" si="466">AVERAGE(AI55:AJ55)</f>
        <v>0.443</v>
      </c>
      <c r="AK56" s="204">
        <f t="shared" ref="AK56" si="467">AVERAGE(AJ55:AK55)</f>
        <v>0.482</v>
      </c>
      <c r="AL56" s="205">
        <f>AVERAGE(AH55:AK55)</f>
        <v>0.4415</v>
      </c>
      <c r="AM56" s="204">
        <f>AVERAGE(AL55:AM55)</f>
        <v>0.501</v>
      </c>
      <c r="AN56" s="204">
        <f t="shared" ref="AN56" si="468">AVERAGE(AM55:AN55)</f>
        <v>0.523</v>
      </c>
      <c r="AO56" s="204">
        <f t="shared" ref="AO56" si="469">AVERAGE(AN55:AO55)</f>
        <v>0.5555</v>
      </c>
      <c r="AP56" s="204">
        <f t="shared" ref="AP56" si="470">AVERAGE(AO55:AP55)</f>
        <v>0.5875</v>
      </c>
      <c r="AQ56" s="205">
        <f>AVERAGE(AM55:AP55)</f>
        <v>0.55525</v>
      </c>
      <c r="AR56" s="204">
        <f>AVERAGE(AQ55:AR55)</f>
        <v>0.6145</v>
      </c>
      <c r="AS56" s="204">
        <f t="shared" ref="AS56" si="471">AVERAGE(AR55:AS55)</f>
        <v>0.6405</v>
      </c>
      <c r="AT56" s="204">
        <f t="shared" ref="AT56" si="472">AVERAGE(AS55:AT55)</f>
        <v>0.686</v>
      </c>
      <c r="AU56" s="204">
        <f t="shared" ref="AU56" si="473">AVERAGE(AT55:AU55)</f>
        <v>0.729</v>
      </c>
      <c r="AV56" s="205">
        <f>AVERAGE(AR55:AU55)</f>
        <v>0.68475</v>
      </c>
      <c r="AW56" s="204">
        <f>AVERAGE(AV55:AW55)</f>
        <v>0.752</v>
      </c>
      <c r="AX56" s="204">
        <f t="shared" ref="AX56" si="474">AVERAGE(AW55:AX55)</f>
        <v>0.7755</v>
      </c>
      <c r="AY56" s="204">
        <f t="shared" ref="AY56" si="475">AVERAGE(AX55:AY55)</f>
        <v>0.8175</v>
      </c>
      <c r="AZ56" s="204">
        <f t="shared" ref="AZ56" si="476">AVERAGE(AY55:AZ55)</f>
        <v>0.868</v>
      </c>
      <c r="BA56" s="205">
        <f>AVERAGE(AW55:AZ55)</f>
        <v>0.82175</v>
      </c>
      <c r="BB56" s="204">
        <f>AVERAGE(BA55:BB55)</f>
        <v>0.9095</v>
      </c>
      <c r="BC56" s="204">
        <f t="shared" ref="BC56" si="477">AVERAGE(BB55:BC55)</f>
        <v>0.958</v>
      </c>
      <c r="BD56" s="204">
        <f t="shared" ref="BD56" si="478">AVERAGE(BC55:BD55)</f>
        <v>1.0105</v>
      </c>
      <c r="BE56" s="204">
        <f t="shared" ref="BE56" si="479">AVERAGE(BD55:BE55)</f>
        <v>1.0535</v>
      </c>
      <c r="BF56" s="205">
        <f>AVERAGE(BB55:BE55)</f>
        <v>1.00575</v>
      </c>
      <c r="BG56" s="204">
        <f>AVERAGE(BF55:BG55)</f>
        <v>1.083</v>
      </c>
      <c r="BH56" s="204">
        <f t="shared" ref="BH56" si="480">AVERAGE(BG55:BH55)</f>
        <v>1.106</v>
      </c>
      <c r="BI56" s="204">
        <f t="shared" ref="BI56" si="481">AVERAGE(BH55:BI55)</f>
        <v>1.1305</v>
      </c>
      <c r="BJ56" s="204">
        <f t="shared" ref="BJ56" si="482">AVERAGE(BI55:BJ55)</f>
        <v>1.167</v>
      </c>
      <c r="BK56" s="205">
        <f>AVERAGE(BG55:BJ55)</f>
        <v>1.1365</v>
      </c>
      <c r="BL56" s="204">
        <f>AVERAGE(BK55:BL55)</f>
        <v>1.197</v>
      </c>
      <c r="BM56" s="204">
        <f t="shared" ref="BM56" si="483">AVERAGE(BL55:BM55)</f>
        <v>1.221</v>
      </c>
      <c r="BN56" s="204">
        <f t="shared" ref="BN56" si="484">AVERAGE(BM55:BN55)</f>
        <v>1.215</v>
      </c>
      <c r="BO56" s="204">
        <f t="shared" ref="BO56" si="485">AVERAGE(BN55:BO55)</f>
        <v>1.192</v>
      </c>
      <c r="BP56" s="205">
        <f>AVERAGE(BL55:BO55)</f>
        <v>1.2065</v>
      </c>
      <c r="BQ56" s="204">
        <f>AVERAGE(BP55:BQ55)</f>
        <v>1.2345</v>
      </c>
      <c r="BR56" s="204">
        <f t="shared" ref="BR56" si="486">AVERAGE(BQ55:BR55)</f>
        <v>1.29</v>
      </c>
      <c r="BS56" s="204">
        <f t="shared" ref="BS56" si="487">AVERAGE(BR55:BS55)</f>
        <v>1.3285</v>
      </c>
      <c r="BT56" s="204">
        <f t="shared" ref="BT56" si="488">AVERAGE(BS55:BT55)</f>
        <v>1.39</v>
      </c>
      <c r="BU56" s="205">
        <f>AVERAGE(BQ55:BT55)</f>
        <v>1.34</v>
      </c>
      <c r="BV56" s="204">
        <f>AVERAGE(BU55:BV55)</f>
        <v>1.446</v>
      </c>
      <c r="BW56" s="204">
        <f t="shared" ref="BW56" si="489">AVERAGE(BV55:BW55)</f>
        <v>1.494</v>
      </c>
      <c r="BX56" s="204">
        <f t="shared" ref="BX56" si="490">AVERAGE(BW55:BX55)</f>
        <v>1.563</v>
      </c>
      <c r="BY56" s="204">
        <f t="shared" ref="BY56" si="491">AVERAGE(BX55:BY55)</f>
        <v>1.642</v>
      </c>
      <c r="BZ56" s="205">
        <f>AVERAGE(BV55:BY55)</f>
        <v>1.568</v>
      </c>
      <c r="CA56" s="204">
        <f>AVERAGE(BZ55:CA55)</f>
        <v>1.686</v>
      </c>
      <c r="CB56" s="204">
        <f t="shared" ref="CB56" si="492">AVERAGE(CA55:CB55)</f>
        <v>1.7245</v>
      </c>
      <c r="CC56" s="204">
        <f t="shared" ref="CC56" si="493">AVERAGE(CB55:CC55)</f>
        <v>1.7825</v>
      </c>
      <c r="CD56" s="204">
        <f t="shared" ref="CD56" si="494">AVERAGE(CC55:CD55)</f>
        <v>1.833</v>
      </c>
      <c r="CE56" s="205">
        <f>AVERAGE(CA55:CD55)</f>
        <v>1.77875</v>
      </c>
      <c r="CF56" s="204">
        <f>AVERAGE(CE55:CF55)</f>
        <v>1.86</v>
      </c>
      <c r="CG56" s="204">
        <f t="shared" ref="CG56" si="495">AVERAGE(CF55:CG55)</f>
        <v>1.8835</v>
      </c>
      <c r="CH56" s="204">
        <f t="shared" ref="CH56" si="496">AVERAGE(CG55:CH55)</f>
        <v>1.9535</v>
      </c>
      <c r="CI56" s="204">
        <f t="shared" ref="CI56" si="497">AVERAGE(CH55:CI55)</f>
        <v>2.0635</v>
      </c>
      <c r="CJ56" s="205">
        <f>AVERAGE(CF55:CI55)</f>
        <v>1.9735</v>
      </c>
      <c r="CK56" s="206">
        <f>AVERAGE(CJ55:CK55)</f>
        <v>2.14</v>
      </c>
      <c r="CL56" s="206">
        <f t="shared" ref="CL56" si="498">AVERAGE(CK55:CL55)</f>
        <v>2.2065</v>
      </c>
      <c r="CM56" s="206">
        <f t="shared" ref="CM56" si="499">AVERAGE(CL55:CM55)</f>
        <v>2.324</v>
      </c>
      <c r="CN56" s="206">
        <f t="shared" ref="CN56" si="500">AVERAGE(CM55:CN55)</f>
        <v>2.4825</v>
      </c>
      <c r="CO56" s="207">
        <f>AVERAGE(CK55:CN55)</f>
        <v>2.3445</v>
      </c>
      <c r="CP56" s="206">
        <f>AVERAGE(CO55:CP55)</f>
        <v>2.6035</v>
      </c>
      <c r="CQ56" s="206">
        <f t="shared" ref="CQ56" si="501">AVERAGE(CP55:CQ55)</f>
        <v>2.6615</v>
      </c>
      <c r="CR56" s="206">
        <f t="shared" ref="CR56" si="502">AVERAGE(CQ55:CR55)</f>
        <v>2.744</v>
      </c>
      <c r="CS56" s="206">
        <f t="shared" ref="CS56" si="503">AVERAGE(CR55:CS55)</f>
        <v>2.882</v>
      </c>
      <c r="CT56" s="207">
        <f>AVERAGE(CP55:CS55)</f>
        <v>2.77175</v>
      </c>
      <c r="CU56" s="206">
        <f>AVERAGE(CT55:CU55)</f>
        <v>2.9775</v>
      </c>
      <c r="CV56" s="206">
        <f t="shared" ref="CV56" si="504">AVERAGE(CU55:CV55)</f>
        <v>3.0315</v>
      </c>
      <c r="CW56" s="206">
        <f t="shared" ref="CW56" si="505">AVERAGE(CV55:CW55)</f>
        <v>3.153</v>
      </c>
      <c r="CX56" s="206">
        <f t="shared" ref="CX56" si="506">AVERAGE(CW55:CX55)</f>
        <v>3.3015</v>
      </c>
      <c r="CY56" s="207">
        <f>AVERAGE(CU55:CX55)</f>
        <v>3.1665</v>
      </c>
      <c r="CZ56" s="206">
        <f>AVERAGE(CY55:CZ55)</f>
        <v>3.3935</v>
      </c>
      <c r="DA56" s="206">
        <f t="shared" ref="DA56:DC56" si="507">AVERAGE(CZ55:DA55)</f>
        <v>3.463</v>
      </c>
      <c r="DB56" s="206">
        <f t="shared" si="507"/>
        <v>3.5705</v>
      </c>
      <c r="DC56" s="206">
        <f t="shared" si="507"/>
        <v>3.683</v>
      </c>
      <c r="DD56" s="207">
        <f>AVERAGE(CZ55:DC55)</f>
        <v>3.573</v>
      </c>
      <c r="DE56" s="206">
        <f>AVERAGE(DD55:DE55)</f>
        <v>3.762</v>
      </c>
      <c r="DF56" s="206">
        <f t="shared" ref="DF56" si="508">AVERAGE(DE55:DF55)</f>
        <v>3.834</v>
      </c>
      <c r="DG56" s="206">
        <f t="shared" ref="DG56:DH56" si="509">DG58/1000*DG52</f>
        <v>3.93884905063291</v>
      </c>
      <c r="DH56" s="206">
        <f t="shared" si="509"/>
        <v>4.04522660236465</v>
      </c>
      <c r="DI56" s="207">
        <f>AVERAGE(DE55:DH55)</f>
        <v>3.93961330118233</v>
      </c>
      <c r="DJ56" s="206">
        <f t="shared" ref="DJ56:DM56" si="510">DJ58/1000*DJ52</f>
        <v>4.11033761524278</v>
      </c>
      <c r="DK56" s="206">
        <f t="shared" si="510"/>
        <v>4.17779835466179</v>
      </c>
      <c r="DL56" s="206">
        <f t="shared" si="510"/>
        <v>4.28776938370253</v>
      </c>
      <c r="DM56" s="206">
        <f t="shared" si="510"/>
        <v>4.40162045115121</v>
      </c>
      <c r="DN56" s="207">
        <f>AVERAGE(DJ55:DM55)</f>
        <v>4.2897094029065</v>
      </c>
      <c r="DO56" s="206">
        <f t="shared" ref="DO56:DR56" si="511">DO58/1000*DO52</f>
        <v>4.47390705285802</v>
      </c>
      <c r="DP56" s="206">
        <f t="shared" si="511"/>
        <v>4.54639154478976</v>
      </c>
      <c r="DQ56" s="206">
        <f t="shared" si="511"/>
        <v>4.66435064015032</v>
      </c>
      <c r="DR56" s="206">
        <f t="shared" si="511"/>
        <v>4.78619371904169</v>
      </c>
      <c r="DS56" s="207">
        <f>AVERAGE(DO55:DR55)</f>
        <v>4.66629263191573</v>
      </c>
    </row>
    <row r="57" s="1" customFormat="1" spans="2:123">
      <c r="B57" s="174" t="s">
        <v>307</v>
      </c>
      <c r="C57" s="758" t="s">
        <v>208</v>
      </c>
      <c r="D57" s="757" t="s">
        <v>208</v>
      </c>
      <c r="E57" s="757" t="s">
        <v>208</v>
      </c>
      <c r="F57" s="757" t="s">
        <v>208</v>
      </c>
      <c r="G57" s="757" t="s">
        <v>208</v>
      </c>
      <c r="H57" s="758" t="s">
        <v>208</v>
      </c>
      <c r="I57" s="196">
        <f>I56/D56-1</f>
        <v>0.932405270602248</v>
      </c>
      <c r="J57" s="196">
        <f t="shared" ref="J57:N57" si="512">J56/E56-1</f>
        <v>0.885872737886748</v>
      </c>
      <c r="K57" s="196">
        <f t="shared" si="512"/>
        <v>0.896705811031475</v>
      </c>
      <c r="L57" s="196">
        <f t="shared" si="512"/>
        <v>0.740788827841728</v>
      </c>
      <c r="M57" s="67">
        <f t="shared" si="512"/>
        <v>0.802121417081018</v>
      </c>
      <c r="N57" s="196">
        <f t="shared" si="512"/>
        <v>0.592572617304877</v>
      </c>
      <c r="O57" s="196">
        <f t="shared" ref="O57" si="513">O56/J56-1</f>
        <v>0.622498523906975</v>
      </c>
      <c r="P57" s="196">
        <f t="shared" ref="P57" si="514">P56/K56-1</f>
        <v>0.652455433090351</v>
      </c>
      <c r="Q57" s="196">
        <f t="shared" ref="Q57" si="515">Q56/L56-1</f>
        <v>0.616928772181949</v>
      </c>
      <c r="R57" s="67">
        <f t="shared" ref="R57:S57" si="516">R56/M56-1</f>
        <v>0.619392746739431</v>
      </c>
      <c r="S57" s="196">
        <f t="shared" si="516"/>
        <v>0.564425092726979</v>
      </c>
      <c r="T57" s="196">
        <f t="shared" ref="T57" si="517">T56/O56-1</f>
        <v>0.529960429621255</v>
      </c>
      <c r="U57" s="196">
        <f t="shared" ref="U57" si="518">U56/P56-1</f>
        <v>0.577151057590316</v>
      </c>
      <c r="V57" s="196">
        <f t="shared" ref="V57" si="519">V56/Q56-1</f>
        <v>0.541429937559768</v>
      </c>
      <c r="W57" s="67">
        <f t="shared" ref="W57:X57" si="520">W56/R56-1</f>
        <v>0.536346268282752</v>
      </c>
      <c r="X57" s="196">
        <f t="shared" si="520"/>
        <v>0.412328625914854</v>
      </c>
      <c r="Y57" s="196">
        <f t="shared" ref="Y57" si="521">Y56/T56-1</f>
        <v>0.272030297432108</v>
      </c>
      <c r="Z57" s="196">
        <f t="shared" ref="Z57" si="522">Z56/U56-1</f>
        <v>0.106223048621276</v>
      </c>
      <c r="AA57" s="196">
        <f t="shared" ref="AA57" si="523">AA56/V56-1</f>
        <v>0.0919275965258011</v>
      </c>
      <c r="AB57" s="67">
        <f t="shared" ref="AB57:AC57" si="524">AB56/W56-1</f>
        <v>0.171423329392099</v>
      </c>
      <c r="AC57" s="196">
        <f t="shared" si="524"/>
        <v>0.169622655280637</v>
      </c>
      <c r="AD57" s="196">
        <f t="shared" ref="AD57" si="525">AD56/Y56-1</f>
        <v>0.225401205431704</v>
      </c>
      <c r="AE57" s="196">
        <f t="shared" ref="AE57" si="526">AE56/Z56-1</f>
        <v>0.27673270867606</v>
      </c>
      <c r="AF57" s="196">
        <f t="shared" ref="AF57" si="527">AF56/AA56-1</f>
        <v>0.233247551886635</v>
      </c>
      <c r="AG57" s="67">
        <f t="shared" ref="AG57:AH57" si="528">AG56/AB56-1</f>
        <v>0.229486800201869</v>
      </c>
      <c r="AH57" s="196">
        <f t="shared" si="528"/>
        <v>0.185647425897036</v>
      </c>
      <c r="AI57" s="196">
        <f t="shared" ref="AI57" si="529">AI56/AD56-1</f>
        <v>0.188148148148148</v>
      </c>
      <c r="AJ57" s="196">
        <f t="shared" ref="AJ57" si="530">AJ56/AE56-1</f>
        <v>0.240896358543418</v>
      </c>
      <c r="AK57" s="196">
        <f t="shared" ref="AK57" si="531">AK56/AF56-1</f>
        <v>0.306233062330623</v>
      </c>
      <c r="AL57" s="67">
        <f t="shared" ref="AL57:AM57" si="532">AL56/AG56-1</f>
        <v>0.249823071479122</v>
      </c>
      <c r="AM57" s="196">
        <f t="shared" si="532"/>
        <v>0.318421052631579</v>
      </c>
      <c r="AN57" s="196">
        <f t="shared" ref="AN57" si="533">AN56/AI56-1</f>
        <v>0.304239401496259</v>
      </c>
      <c r="AO57" s="196">
        <f t="shared" ref="AO57" si="534">AO56/AJ56-1</f>
        <v>0.253950338600452</v>
      </c>
      <c r="AP57" s="196">
        <f t="shared" ref="AP57" si="535">AP56/AK56-1</f>
        <v>0.218879668049793</v>
      </c>
      <c r="AQ57" s="67">
        <f t="shared" ref="AQ57:AR57" si="536">AQ56/AL56-1</f>
        <v>0.257644394110985</v>
      </c>
      <c r="AR57" s="196">
        <f t="shared" si="536"/>
        <v>0.226546906187625</v>
      </c>
      <c r="AS57" s="196">
        <f t="shared" ref="AS57" si="537">AS56/AN56-1</f>
        <v>0.224665391969407</v>
      </c>
      <c r="AT57" s="196">
        <f t="shared" ref="AT57" si="538">AT56/AO56-1</f>
        <v>0.234923492349234</v>
      </c>
      <c r="AU57" s="196">
        <f t="shared" ref="AU57" si="539">AU56/AP56-1</f>
        <v>0.240851063829787</v>
      </c>
      <c r="AV57" s="67">
        <f t="shared" ref="AV57:AW57" si="540">AV56/AQ56-1</f>
        <v>0.233228275551553</v>
      </c>
      <c r="AW57" s="196">
        <f t="shared" si="540"/>
        <v>0.223759153783564</v>
      </c>
      <c r="AX57" s="196">
        <f t="shared" ref="AX57" si="541">AX56/AS56-1</f>
        <v>0.210772833723653</v>
      </c>
      <c r="AY57" s="196">
        <f t="shared" ref="AY57" si="542">AY56/AT56-1</f>
        <v>0.191690962099125</v>
      </c>
      <c r="AZ57" s="196">
        <f t="shared" ref="AZ57" si="543">AZ56/AU56-1</f>
        <v>0.190672153635117</v>
      </c>
      <c r="BA57" s="67">
        <f t="shared" ref="BA57:BB57" si="544">BA56/AV56-1</f>
        <v>0.200073019350128</v>
      </c>
      <c r="BB57" s="196">
        <f t="shared" si="544"/>
        <v>0.209441489361702</v>
      </c>
      <c r="BC57" s="196">
        <f t="shared" ref="BC57" si="545">BC56/AX56-1</f>
        <v>0.235332043842682</v>
      </c>
      <c r="BD57" s="196">
        <f t="shared" ref="BD57" si="546">BD56/AY56-1</f>
        <v>0.236085626911315</v>
      </c>
      <c r="BE57" s="196">
        <f t="shared" ref="BE57" si="547">BE56/AZ56-1</f>
        <v>0.213709677419355</v>
      </c>
      <c r="BF57" s="67">
        <f t="shared" ref="BF57:BG57" si="548">BF56/BA56-1</f>
        <v>0.223912382111348</v>
      </c>
      <c r="BG57" s="196">
        <f t="shared" si="548"/>
        <v>0.190764156129742</v>
      </c>
      <c r="BH57" s="196">
        <f t="shared" ref="BH57" si="549">BH56/BC56-1</f>
        <v>0.154488517745303</v>
      </c>
      <c r="BI57" s="196">
        <f t="shared" ref="BI57" si="550">BI56/BD56-1</f>
        <v>0.118753092528451</v>
      </c>
      <c r="BJ57" s="196">
        <f t="shared" ref="BJ57" si="551">BJ56/BE56-1</f>
        <v>0.107736117702895</v>
      </c>
      <c r="BK57" s="67">
        <f t="shared" ref="BK57:BL57" si="552">BK56/BF56-1</f>
        <v>0.130002485707184</v>
      </c>
      <c r="BL57" s="196">
        <f t="shared" si="552"/>
        <v>0.105263157894737</v>
      </c>
      <c r="BM57" s="196">
        <f t="shared" ref="BM57" si="553">BM56/BH56-1</f>
        <v>0.103978300180832</v>
      </c>
      <c r="BN57" s="196">
        <f t="shared" ref="BN57" si="554">BN56/BI56-1</f>
        <v>0.0747456877487835</v>
      </c>
      <c r="BO57" s="196">
        <f t="shared" ref="BO57" si="555">BO56/BJ56-1</f>
        <v>0.0214224507283634</v>
      </c>
      <c r="BP57" s="67">
        <f t="shared" ref="BP57:BQ57" si="556">BP56/BK56-1</f>
        <v>0.0615926088869339</v>
      </c>
      <c r="BQ57" s="196">
        <f t="shared" si="556"/>
        <v>0.031328320802005</v>
      </c>
      <c r="BR57" s="196">
        <f t="shared" ref="BR57" si="557">BR56/BM56-1</f>
        <v>0.0565110565110565</v>
      </c>
      <c r="BS57" s="196">
        <f t="shared" ref="BS57" si="558">BS56/BN56-1</f>
        <v>0.0934156378600823</v>
      </c>
      <c r="BT57" s="196">
        <f t="shared" ref="BT57" si="559">BT56/BO56-1</f>
        <v>0.166107382550336</v>
      </c>
      <c r="BU57" s="67">
        <f t="shared" ref="BU57:BV57" si="560">BU56/BP56-1</f>
        <v>0.110650642353916</v>
      </c>
      <c r="BV57" s="196">
        <f t="shared" si="560"/>
        <v>0.171324422843256</v>
      </c>
      <c r="BW57" s="196">
        <f t="shared" ref="BW57" si="561">BW56/BR56-1</f>
        <v>0.158139534883721</v>
      </c>
      <c r="BX57" s="196">
        <f t="shared" ref="BX57" si="562">BX56/BS56-1</f>
        <v>0.176514866390666</v>
      </c>
      <c r="BY57" s="196">
        <f t="shared" ref="BY57" si="563">BY56/BT56-1</f>
        <v>0.181294964028777</v>
      </c>
      <c r="BZ57" s="67">
        <f t="shared" ref="BZ57:CA57" si="564">BZ56/BU56-1</f>
        <v>0.170149253731343</v>
      </c>
      <c r="CA57" s="196">
        <f t="shared" si="564"/>
        <v>0.16597510373444</v>
      </c>
      <c r="CB57" s="196">
        <f t="shared" ref="CB57" si="565">CB56/BW56-1</f>
        <v>0.154283801874163</v>
      </c>
      <c r="CC57" s="196">
        <f t="shared" ref="CC57" si="566">CC56/BX56-1</f>
        <v>0.14043506078055</v>
      </c>
      <c r="CD57" s="196">
        <f t="shared" ref="CD57" si="567">CD56/BY56-1</f>
        <v>0.1163215590743</v>
      </c>
      <c r="CE57" s="67">
        <f t="shared" ref="CE57:CF57" si="568">CE56/BZ56-1</f>
        <v>0.134406887755102</v>
      </c>
      <c r="CF57" s="196">
        <f t="shared" si="568"/>
        <v>0.103202846975089</v>
      </c>
      <c r="CG57" s="196">
        <f t="shared" ref="CG57" si="569">CG56/CB56-1</f>
        <v>0.0922006378660483</v>
      </c>
      <c r="CH57" s="196">
        <f t="shared" ref="CH57" si="570">CH56/CC56-1</f>
        <v>0.0959326788218795</v>
      </c>
      <c r="CI57" s="196">
        <f t="shared" ref="CI57" si="571">CI56/CD56-1</f>
        <v>0.125750136388434</v>
      </c>
      <c r="CJ57" s="67">
        <f t="shared" ref="CJ57:CK57" si="572">CJ56/CE56-1</f>
        <v>0.109486999297259</v>
      </c>
      <c r="CK57" s="141">
        <f t="shared" si="572"/>
        <v>0.150537634408602</v>
      </c>
      <c r="CL57" s="141">
        <f t="shared" ref="CL57" si="573">CL56/CG56-1</f>
        <v>0.17148924873905</v>
      </c>
      <c r="CM57" s="141">
        <f t="shared" ref="CM57" si="574">CM56/CH56-1</f>
        <v>0.189659585359611</v>
      </c>
      <c r="CN57" s="141">
        <f t="shared" ref="CN57" si="575">CN56/CI56-1</f>
        <v>0.203053065180518</v>
      </c>
      <c r="CO57" s="140">
        <f t="shared" ref="CO57:CP57" si="576">CO56/CJ56-1</f>
        <v>0.187990879148721</v>
      </c>
      <c r="CP57" s="141">
        <f t="shared" si="576"/>
        <v>0.216588785046729</v>
      </c>
      <c r="CQ57" s="141">
        <f t="shared" ref="CQ57" si="577">CQ56/CL56-1</f>
        <v>0.20620892816678</v>
      </c>
      <c r="CR57" s="141">
        <f t="shared" ref="CR57" si="578">CR56/CM56-1</f>
        <v>0.180722891566265</v>
      </c>
      <c r="CS57" s="141">
        <f t="shared" ref="CS57" si="579">CS56/CN56-1</f>
        <v>0.160926485397785</v>
      </c>
      <c r="CT57" s="140">
        <f t="shared" ref="CT57:CU57" si="580">CT56/CO56-1</f>
        <v>0.182235018127533</v>
      </c>
      <c r="CU57" s="141">
        <f t="shared" si="580"/>
        <v>0.143652775110428</v>
      </c>
      <c r="CV57" s="141">
        <f t="shared" ref="CV57" si="581">CV56/CQ56-1</f>
        <v>0.139019349990607</v>
      </c>
      <c r="CW57" s="141">
        <f t="shared" ref="CW57" si="582">CW56/CR56-1</f>
        <v>0.149052478134111</v>
      </c>
      <c r="CX57" s="141">
        <f t="shared" ref="CX57" si="583">CX56/CS56-1</f>
        <v>0.145558639833449</v>
      </c>
      <c r="CY57" s="140">
        <f t="shared" ref="CY57:CZ57" si="584">CY56/CT56-1</f>
        <v>0.142419049337061</v>
      </c>
      <c r="CZ57" s="141">
        <f t="shared" si="584"/>
        <v>0.139714525608732</v>
      </c>
      <c r="DA57" s="141">
        <f t="shared" ref="DA57:DC57" si="585">DA56/CV56-1</f>
        <v>0.142338776183407</v>
      </c>
      <c r="DB57" s="141">
        <f t="shared" si="585"/>
        <v>0.132413574373612</v>
      </c>
      <c r="DC57" s="141">
        <f t="shared" si="585"/>
        <v>0.115553536271392</v>
      </c>
      <c r="DD57" s="140">
        <f t="shared" ref="DD57:DE57" si="586">DD56/CY56-1</f>
        <v>0.128375177640929</v>
      </c>
      <c r="DE57" s="141">
        <f t="shared" si="586"/>
        <v>0.108589951377634</v>
      </c>
      <c r="DF57" s="141">
        <f t="shared" ref="DF57" si="587">DF56/DA56-1</f>
        <v>0.107132544036962</v>
      </c>
      <c r="DG57" s="141">
        <f t="shared" ref="DG57" si="588">DG56/DB56-1</f>
        <v>0.103164556962025</v>
      </c>
      <c r="DH57" s="141">
        <f t="shared" ref="DH57" si="589">DH56/DC56-1</f>
        <v>0.0983509645301806</v>
      </c>
      <c r="DI57" s="140">
        <f t="shared" ref="DI57" si="590">DI56/DD56-1</f>
        <v>0.102606577436979</v>
      </c>
      <c r="DJ57" s="141">
        <f t="shared" ref="DJ57" si="591">DJ56/DE56-1</f>
        <v>0.0925937307928706</v>
      </c>
      <c r="DK57" s="141">
        <f t="shared" ref="DK57" si="592">DK56/DF56-1</f>
        <v>0.089670932358318</v>
      </c>
      <c r="DL57" s="141">
        <f t="shared" ref="DL57" si="593">DL56/DG56-1</f>
        <v>0.0885843373493977</v>
      </c>
      <c r="DM57" s="141">
        <f t="shared" ref="DM57" si="594">DM56/DH56-1</f>
        <v>0.0881023200475908</v>
      </c>
      <c r="DN57" s="140">
        <f t="shared" ref="DN57" si="595">DN56/DI56-1</f>
        <v>0.0888656004941164</v>
      </c>
      <c r="DO57" s="141">
        <f t="shared" ref="DO57" si="596">DO56/DJ56-1</f>
        <v>0.0884524512699347</v>
      </c>
      <c r="DP57" s="141">
        <f t="shared" ref="DP57" si="597">DP56/DK56-1</f>
        <v>0.0882266588373459</v>
      </c>
      <c r="DQ57" s="141">
        <f t="shared" ref="DQ57" si="598">DQ56/DL56-1</f>
        <v>0.0878268448576411</v>
      </c>
      <c r="DR57" s="141">
        <f t="shared" ref="DR57" si="599">DR56/DM56-1</f>
        <v>0.0873708381171068</v>
      </c>
      <c r="DS57" s="140">
        <f t="shared" ref="DS57" si="600">DS56/DN56-1</f>
        <v>0.0877875850410916</v>
      </c>
    </row>
    <row r="58" s="88" customFormat="1" spans="2:123">
      <c r="B58" s="208" t="s">
        <v>310</v>
      </c>
      <c r="C58" s="124"/>
      <c r="D58" s="125"/>
      <c r="E58" s="125"/>
      <c r="F58" s="125"/>
      <c r="G58" s="125"/>
      <c r="H58" s="124"/>
      <c r="I58" s="125"/>
      <c r="J58" s="125"/>
      <c r="K58" s="125"/>
      <c r="L58" s="125"/>
      <c r="M58" s="124"/>
      <c r="N58" s="125"/>
      <c r="O58" s="125"/>
      <c r="P58" s="125"/>
      <c r="Q58" s="760" t="s">
        <v>208</v>
      </c>
      <c r="R58" s="124" t="s">
        <v>208</v>
      </c>
      <c r="S58" s="209">
        <f t="shared" ref="S58:AX58" si="601">S56*1000/S52</f>
        <v>2.67613793103448</v>
      </c>
      <c r="T58" s="209">
        <f t="shared" si="601"/>
        <v>2.81194805194805</v>
      </c>
      <c r="U58" s="209">
        <f t="shared" si="601"/>
        <v>2.84011235955056</v>
      </c>
      <c r="V58" s="209">
        <f t="shared" si="601"/>
        <v>2.7265671641791</v>
      </c>
      <c r="W58" s="210">
        <f t="shared" si="601"/>
        <v>2.76360563380282</v>
      </c>
      <c r="X58" s="209">
        <f t="shared" si="601"/>
        <v>2.66038834951456</v>
      </c>
      <c r="Y58" s="209">
        <f t="shared" si="601"/>
        <v>2.66106280193237</v>
      </c>
      <c r="Z58" s="209">
        <f t="shared" si="601"/>
        <v>2.66304761904762</v>
      </c>
      <c r="AA58" s="209">
        <f t="shared" si="601"/>
        <v>2.77046296296296</v>
      </c>
      <c r="AB58" s="210">
        <f t="shared" si="601"/>
        <v>2.71692671394799</v>
      </c>
      <c r="AC58" s="209">
        <f t="shared" si="601"/>
        <v>2.90045248868778</v>
      </c>
      <c r="AD58" s="209">
        <f t="shared" si="601"/>
        <v>2.88461538461538</v>
      </c>
      <c r="AE58" s="209">
        <f t="shared" si="601"/>
        <v>2.856</v>
      </c>
      <c r="AF58" s="209">
        <f t="shared" si="601"/>
        <v>2.86046511627907</v>
      </c>
      <c r="AG58" s="210">
        <f t="shared" si="601"/>
        <v>2.8719512195122</v>
      </c>
      <c r="AH58" s="209">
        <f t="shared" si="601"/>
        <v>2.85714285714286</v>
      </c>
      <c r="AI58" s="209">
        <f t="shared" si="601"/>
        <v>2.87455197132616</v>
      </c>
      <c r="AJ58" s="209">
        <f t="shared" si="601"/>
        <v>2.89542483660131</v>
      </c>
      <c r="AK58" s="209">
        <f t="shared" si="601"/>
        <v>2.91238670694864</v>
      </c>
      <c r="AL58" s="210">
        <f t="shared" si="601"/>
        <v>2.89508196721311</v>
      </c>
      <c r="AM58" s="209">
        <f t="shared" si="601"/>
        <v>2.92982456140351</v>
      </c>
      <c r="AN58" s="209">
        <f t="shared" si="601"/>
        <v>2.94647887323944</v>
      </c>
      <c r="AO58" s="209">
        <f t="shared" si="601"/>
        <v>2.95478723404255</v>
      </c>
      <c r="AP58" s="209">
        <f t="shared" si="601"/>
        <v>2.95969773299748</v>
      </c>
      <c r="AQ58" s="210">
        <f t="shared" si="601"/>
        <v>2.95345744680851</v>
      </c>
      <c r="AR58" s="209">
        <f t="shared" si="601"/>
        <v>2.97578692493947</v>
      </c>
      <c r="AS58" s="209">
        <f t="shared" si="601"/>
        <v>3</v>
      </c>
      <c r="AT58" s="209">
        <f t="shared" si="601"/>
        <v>3.02869757174393</v>
      </c>
      <c r="AU58" s="209">
        <f t="shared" si="601"/>
        <v>3.05020920502092</v>
      </c>
      <c r="AV58" s="210">
        <f t="shared" si="601"/>
        <v>3.02651933701657</v>
      </c>
      <c r="AW58" s="209">
        <f t="shared" si="601"/>
        <v>3.07566462167689</v>
      </c>
      <c r="AX58" s="209">
        <f t="shared" si="601"/>
        <v>3.10821643286573</v>
      </c>
      <c r="AY58" s="209">
        <f t="shared" ref="AY58:CD58" si="602">AY56*1000/AY52</f>
        <v>3.14423076923077</v>
      </c>
      <c r="AZ58" s="209">
        <f t="shared" si="602"/>
        <v>3.16788321167883</v>
      </c>
      <c r="BA58" s="210">
        <f t="shared" si="602"/>
        <v>3.13944603629417</v>
      </c>
      <c r="BB58" s="209">
        <f t="shared" si="602"/>
        <v>3.20811287477954</v>
      </c>
      <c r="BC58" s="209">
        <f t="shared" si="602"/>
        <v>3.25850340136054</v>
      </c>
      <c r="BD58" s="209">
        <f t="shared" si="602"/>
        <v>3.29153094462541</v>
      </c>
      <c r="BE58" s="209">
        <f t="shared" si="602"/>
        <v>3.32859399684044</v>
      </c>
      <c r="BF58" s="210">
        <f t="shared" si="602"/>
        <v>3.29484029484029</v>
      </c>
      <c r="BG58" s="209">
        <f t="shared" si="602"/>
        <v>3.36335403726708</v>
      </c>
      <c r="BH58" s="209">
        <f t="shared" si="602"/>
        <v>3.39784946236559</v>
      </c>
      <c r="BI58" s="209">
        <f t="shared" si="602"/>
        <v>3.41540785498489</v>
      </c>
      <c r="BJ58" s="209">
        <f t="shared" si="602"/>
        <v>3.40233236151603</v>
      </c>
      <c r="BK58" s="210">
        <f t="shared" si="602"/>
        <v>3.40014958863126</v>
      </c>
      <c r="BL58" s="209">
        <f t="shared" si="602"/>
        <v>3.38613861386139</v>
      </c>
      <c r="BM58" s="209">
        <f t="shared" si="602"/>
        <v>3.38227146814404</v>
      </c>
      <c r="BN58" s="209">
        <f t="shared" si="602"/>
        <v>3.25301204819277</v>
      </c>
      <c r="BO58" s="209">
        <f t="shared" si="602"/>
        <v>3.06426735218509</v>
      </c>
      <c r="BP58" s="210">
        <f t="shared" si="602"/>
        <v>3.21733333333333</v>
      </c>
      <c r="BQ58" s="209">
        <f t="shared" si="602"/>
        <v>3.08239700374532</v>
      </c>
      <c r="BR58" s="209">
        <f t="shared" si="602"/>
        <v>3.17733990147783</v>
      </c>
      <c r="BS58" s="209">
        <f t="shared" si="602"/>
        <v>3.21281741233374</v>
      </c>
      <c r="BT58" s="209">
        <f t="shared" si="602"/>
        <v>3.26291079812207</v>
      </c>
      <c r="BU58" s="210">
        <f t="shared" si="602"/>
        <v>3.22115384615385</v>
      </c>
      <c r="BV58" s="209">
        <f t="shared" si="602"/>
        <v>3.28263337116913</v>
      </c>
      <c r="BW58" s="209">
        <f t="shared" si="602"/>
        <v>3.31631520532741</v>
      </c>
      <c r="BX58" s="209">
        <f t="shared" si="602"/>
        <v>3.37580993520518</v>
      </c>
      <c r="BY58" s="209">
        <f t="shared" si="602"/>
        <v>3.42083333333333</v>
      </c>
      <c r="BZ58" s="210">
        <f t="shared" si="602"/>
        <v>3.37023105857066</v>
      </c>
      <c r="CA58" s="209">
        <f t="shared" si="602"/>
        <v>3.45491803278689</v>
      </c>
      <c r="CB58" s="209">
        <f t="shared" si="602"/>
        <v>3.46633165829146</v>
      </c>
      <c r="CC58" s="209">
        <f t="shared" si="602"/>
        <v>3.49167482859941</v>
      </c>
      <c r="CD58" s="209">
        <f t="shared" si="602"/>
        <v>3.53861003861004</v>
      </c>
      <c r="CE58" s="210">
        <f t="shared" ref="CE58:DA58" si="603">CE56*1000/CE52</f>
        <v>3.50320039389463</v>
      </c>
      <c r="CF58" s="209">
        <f t="shared" si="603"/>
        <v>3.5632183908046</v>
      </c>
      <c r="CG58" s="209">
        <f t="shared" si="603"/>
        <v>3.56385998107852</v>
      </c>
      <c r="CH58" s="209">
        <f t="shared" si="603"/>
        <v>3.597605893186</v>
      </c>
      <c r="CI58" s="209">
        <f t="shared" si="603"/>
        <v>3.6651865008881</v>
      </c>
      <c r="CJ58" s="210">
        <f t="shared" si="603"/>
        <v>3.61612459917545</v>
      </c>
      <c r="CK58" s="211">
        <f t="shared" si="603"/>
        <v>3.71205550737207</v>
      </c>
      <c r="CL58" s="211">
        <f t="shared" si="603"/>
        <v>3.74300254452926</v>
      </c>
      <c r="CM58" s="211">
        <f t="shared" si="603"/>
        <v>3.80049059689289</v>
      </c>
      <c r="CN58" s="211">
        <f t="shared" si="603"/>
        <v>3.8849765258216</v>
      </c>
      <c r="CO58" s="212">
        <f t="shared" si="603"/>
        <v>3.81684981684982</v>
      </c>
      <c r="CP58" s="211">
        <f t="shared" si="603"/>
        <v>3.95368261199696</v>
      </c>
      <c r="CQ58" s="211">
        <f t="shared" si="603"/>
        <v>3.99025487256372</v>
      </c>
      <c r="CR58" s="211">
        <f t="shared" si="603"/>
        <v>4.04123711340206</v>
      </c>
      <c r="CS58" s="211">
        <f t="shared" si="603"/>
        <v>4.1259842519685</v>
      </c>
      <c r="CT58" s="212">
        <f t="shared" si="603"/>
        <v>4.05968509703405</v>
      </c>
      <c r="CU58" s="211">
        <f t="shared" si="603"/>
        <v>4.18776371308017</v>
      </c>
      <c r="CV58" s="211">
        <f t="shared" si="603"/>
        <v>4.23393854748603</v>
      </c>
      <c r="CW58" s="211">
        <f t="shared" si="603"/>
        <v>4.28979591836735</v>
      </c>
      <c r="CX58" s="211">
        <f t="shared" si="603"/>
        <v>4.35554089709763</v>
      </c>
      <c r="CY58" s="212">
        <f t="shared" si="603"/>
        <v>4.29647218453189</v>
      </c>
      <c r="CZ58" s="211">
        <f t="shared" si="603"/>
        <v>4.41574495770982</v>
      </c>
      <c r="DA58" s="211">
        <f t="shared" si="603"/>
        <v>4.45688545688546</v>
      </c>
      <c r="DB58" s="211">
        <f t="shared" ref="DB58:DD58" si="604">DB56*1000/DB52</f>
        <v>4.51962025316456</v>
      </c>
      <c r="DC58" s="211">
        <f t="shared" si="604"/>
        <v>4.58369632856254</v>
      </c>
      <c r="DD58" s="212">
        <f t="shared" si="604"/>
        <v>4.52135400189813</v>
      </c>
      <c r="DE58" s="211">
        <f t="shared" ref="DE58:DF58" si="605">DE56*1000/DE52</f>
        <v>4.62446220036878</v>
      </c>
      <c r="DF58" s="211">
        <f t="shared" si="605"/>
        <v>4.672760511883</v>
      </c>
      <c r="DG58" s="211">
        <f t="shared" ref="DG58:DH58" si="606">DB58*(1+DG59)</f>
        <v>4.74560126582278</v>
      </c>
      <c r="DH58" s="211">
        <f t="shared" si="606"/>
        <v>4.81288114499067</v>
      </c>
      <c r="DI58" s="212">
        <f>DI56*1000/DI52</f>
        <v>4.74366442044832</v>
      </c>
      <c r="DJ58" s="211">
        <f t="shared" ref="DJ58:DM58" si="607">DE58*(1+DJ59)</f>
        <v>4.85568531038722</v>
      </c>
      <c r="DK58" s="211">
        <f t="shared" si="607"/>
        <v>4.90639853747715</v>
      </c>
      <c r="DL58" s="211">
        <f t="shared" si="607"/>
        <v>4.98288132911392</v>
      </c>
      <c r="DM58" s="211">
        <f t="shared" si="607"/>
        <v>5.0535252022402</v>
      </c>
      <c r="DN58" s="212">
        <f>DN56*1000/DN52</f>
        <v>4.98079466230073</v>
      </c>
      <c r="DO58" s="211">
        <f t="shared" ref="DO58" si="608">DJ58*(1+DO59)</f>
        <v>5.09846957590658</v>
      </c>
      <c r="DP58" s="211">
        <f t="shared" ref="DP58" si="609">DK58*(1+DP59)</f>
        <v>5.15171846435101</v>
      </c>
      <c r="DQ58" s="211">
        <f t="shared" ref="DQ58" si="610">DL58*(1+DQ59)</f>
        <v>5.23202539556962</v>
      </c>
      <c r="DR58" s="211">
        <f t="shared" ref="DR58" si="611">DM58*(1+DR59)</f>
        <v>5.30620146235221</v>
      </c>
      <c r="DS58" s="212">
        <f>DS56*1000/DS52</f>
        <v>5.22980401447546</v>
      </c>
    </row>
    <row r="59" spans="2:123">
      <c r="B59" s="144" t="s">
        <v>307</v>
      </c>
      <c r="C59" s="119"/>
      <c r="D59" s="120"/>
      <c r="E59" s="120"/>
      <c r="F59" s="120"/>
      <c r="G59" s="120"/>
      <c r="H59" s="119"/>
      <c r="I59" s="120"/>
      <c r="J59" s="120"/>
      <c r="K59" s="120"/>
      <c r="L59" s="120"/>
      <c r="M59" s="119"/>
      <c r="N59" s="120"/>
      <c r="O59" s="120"/>
      <c r="P59" s="120"/>
      <c r="Q59" s="761" t="s">
        <v>208</v>
      </c>
      <c r="R59" s="119" t="s">
        <v>208</v>
      </c>
      <c r="S59" s="120" t="s">
        <v>208</v>
      </c>
      <c r="T59" s="120" t="s">
        <v>208</v>
      </c>
      <c r="U59" s="120" t="s">
        <v>208</v>
      </c>
      <c r="V59" s="120" t="s">
        <v>208</v>
      </c>
      <c r="W59" s="119" t="s">
        <v>208</v>
      </c>
      <c r="X59" s="196">
        <f>X58/S58-1</f>
        <v>-0.00588519049682634</v>
      </c>
      <c r="Y59" s="196">
        <f t="shared" ref="Y59" si="612">Y58/T58-1</f>
        <v>-0.0536586193017167</v>
      </c>
      <c r="Z59" s="196">
        <f t="shared" ref="Z59" si="613">Z58/U58-1</f>
        <v>-0.0623442730733944</v>
      </c>
      <c r="AA59" s="196">
        <f t="shared" ref="AA59" si="614">AA58/V58-1</f>
        <v>0.0160992912115094</v>
      </c>
      <c r="AB59" s="67">
        <f t="shared" ref="AB59:AC59" si="615">AB58/W58-1</f>
        <v>-0.0168905864439834</v>
      </c>
      <c r="AC59" s="196">
        <f t="shared" si="615"/>
        <v>0.0902365022072902</v>
      </c>
      <c r="AD59" s="196">
        <f t="shared" ref="AD59" si="616">AD58/Y58-1</f>
        <v>0.0840087586511229</v>
      </c>
      <c r="AE59" s="196">
        <f t="shared" ref="AE59" si="617">AE58/Z58-1</f>
        <v>0.0724554752878905</v>
      </c>
      <c r="AF59" s="196">
        <f t="shared" ref="AF59" si="618">AF58/AA58-1</f>
        <v>0.0324863225097409</v>
      </c>
      <c r="AG59" s="67">
        <f t="shared" ref="AG59:AH59" si="619">AG58/AB58-1</f>
        <v>0.05705877334429</v>
      </c>
      <c r="AH59" s="196">
        <f t="shared" si="619"/>
        <v>-0.0149320258524627</v>
      </c>
      <c r="AI59" s="196">
        <f t="shared" ref="AI59" si="620">AI58/AD58-1</f>
        <v>-0.00348864994026288</v>
      </c>
      <c r="AJ59" s="196">
        <f t="shared" ref="AJ59" si="621">AJ58/AE58-1</f>
        <v>0.0138042144962562</v>
      </c>
      <c r="AK59" s="196">
        <f t="shared" ref="AK59" si="622">AK58/AF58-1</f>
        <v>0.0181514503966791</v>
      </c>
      <c r="AL59" s="67">
        <f t="shared" ref="AL59:AM59" si="623">AL58/AG58-1</f>
        <v>0.0080540183077511</v>
      </c>
      <c r="AM59" s="196">
        <f t="shared" si="623"/>
        <v>0.025438596491228</v>
      </c>
      <c r="AN59" s="196">
        <f t="shared" ref="AN59" si="624">AN58/AI58-1</f>
        <v>0.0250219521618489</v>
      </c>
      <c r="AO59" s="196">
        <f t="shared" ref="AO59" si="625">AO58/AJ58-1</f>
        <v>0.0205021372652612</v>
      </c>
      <c r="AP59" s="196">
        <f t="shared" ref="AP59" si="626">AP58/AK58-1</f>
        <v>0.0162447610188445</v>
      </c>
      <c r="AQ59" s="67">
        <f t="shared" ref="AQ59:AR59" si="627">AQ58/AL58-1</f>
        <v>0.0201636707549218</v>
      </c>
      <c r="AR59" s="196">
        <f t="shared" si="627"/>
        <v>0.0156877528236508</v>
      </c>
      <c r="AS59" s="196">
        <f t="shared" ref="AS59" si="628">AS58/AN58-1</f>
        <v>0.0181644359464628</v>
      </c>
      <c r="AT59" s="196">
        <f t="shared" ref="AT59" si="629">AT58/AO58-1</f>
        <v>0.0250137596541109</v>
      </c>
      <c r="AU59" s="196">
        <f t="shared" ref="AU59" si="630">AU58/AP58-1</f>
        <v>0.0305813228879195</v>
      </c>
      <c r="AV59" s="67">
        <f t="shared" ref="AV59:AW59" si="631">AV58/AQ58-1</f>
        <v>0.0247377494085834</v>
      </c>
      <c r="AW59" s="196">
        <f t="shared" si="631"/>
        <v>0.0335634570810057</v>
      </c>
      <c r="AX59" s="196">
        <f t="shared" ref="AX59" si="632">AX58/AS58-1</f>
        <v>0.0360721442885772</v>
      </c>
      <c r="AY59" s="196">
        <f t="shared" ref="AY59" si="633">AY58/AT58-1</f>
        <v>0.0381461650594304</v>
      </c>
      <c r="AZ59" s="196">
        <f t="shared" ref="AZ59" si="634">AZ58/AU58-1</f>
        <v>0.0385789953240616</v>
      </c>
      <c r="BA59" s="67">
        <f t="shared" ref="BA59:BB59" si="635">BA58/AV58-1</f>
        <v>0.0373123997247999</v>
      </c>
      <c r="BB59" s="196">
        <f t="shared" si="635"/>
        <v>0.0430632950579759</v>
      </c>
      <c r="BC59" s="196">
        <f t="shared" ref="BC59" si="636">BC58/AX58-1</f>
        <v>0.048351513397106</v>
      </c>
      <c r="BD59" s="196">
        <f t="shared" ref="BD59" si="637">BD58/AY58-1</f>
        <v>0.0468477622050225</v>
      </c>
      <c r="BE59" s="196">
        <f t="shared" ref="BE59" si="638">BE58/AZ58-1</f>
        <v>0.0507312847169139</v>
      </c>
      <c r="BF59" s="67">
        <f t="shared" ref="BF59:BG59" si="639">BF58/BA58-1</f>
        <v>0.0494973497711555</v>
      </c>
      <c r="BG59" s="196">
        <f t="shared" si="639"/>
        <v>0.048390180940316</v>
      </c>
      <c r="BH59" s="196">
        <f t="shared" ref="BH59" si="640">BH58/BC58-1</f>
        <v>0.0427638224796281</v>
      </c>
      <c r="BI59" s="196">
        <f t="shared" ref="BI59" si="641">BI58/BD58-1</f>
        <v>0.0376350435233672</v>
      </c>
      <c r="BJ59" s="196">
        <f t="shared" ref="BJ59" si="642">BJ58/BE58-1</f>
        <v>0.0221530065684148</v>
      </c>
      <c r="BK59" s="67">
        <f t="shared" ref="BK59:BL59" si="643">BK58/BF58-1</f>
        <v>0.0319618811132918</v>
      </c>
      <c r="BL59" s="196">
        <f t="shared" si="643"/>
        <v>0.00677436164669087</v>
      </c>
      <c r="BM59" s="196">
        <f t="shared" ref="BM59" si="644">BM58/BH58-1</f>
        <v>-0.00458466285634118</v>
      </c>
      <c r="BN59" s="196">
        <f t="shared" ref="BN59" si="645">BN58/BI58-1</f>
        <v>-0.047547998273501</v>
      </c>
      <c r="BO59" s="196">
        <f t="shared" ref="BO59" si="646">BO58/BJ58-1</f>
        <v>-0.0993627233937566</v>
      </c>
      <c r="BP59" s="67">
        <f t="shared" ref="BP59:BQ59" si="647">BP58/BK58-1</f>
        <v>-0.0537671212787795</v>
      </c>
      <c r="BQ59" s="196">
        <f t="shared" si="647"/>
        <v>-0.0897014696541603</v>
      </c>
      <c r="BR59" s="196">
        <f t="shared" ref="BR59" si="648">BR58/BM58-1</f>
        <v>-0.0605899226588882</v>
      </c>
      <c r="BS59" s="196">
        <f t="shared" ref="BS59" si="649">BS58/BN58-1</f>
        <v>-0.0123561288011106</v>
      </c>
      <c r="BT59" s="196">
        <f t="shared" ref="BT59" si="650">BT58/BO58-1</f>
        <v>0.0648257554274192</v>
      </c>
      <c r="BU59" s="67">
        <f t="shared" ref="BU59:BV59" si="651">BU58/BP58-1</f>
        <v>0.00118747808345798</v>
      </c>
      <c r="BV59" s="196">
        <f t="shared" si="651"/>
        <v>0.0649612516429605</v>
      </c>
      <c r="BW59" s="196">
        <f t="shared" ref="BW59" si="652">BW58/BR58-1</f>
        <v>0.0437395142348296</v>
      </c>
      <c r="BX59" s="196">
        <f t="shared" ref="BX59" si="653">BX58/BS58-1</f>
        <v>0.050731959508727</v>
      </c>
      <c r="BY59" s="196">
        <f t="shared" ref="BY59" si="654">BY58/BT58-1</f>
        <v>0.0483992805755393</v>
      </c>
      <c r="BZ59" s="67">
        <f t="shared" ref="BZ59:CA59" si="655">BZ58/BU58-1</f>
        <v>0.0462806868398469</v>
      </c>
      <c r="CA59" s="196">
        <f t="shared" si="655"/>
        <v>0.0524836745799606</v>
      </c>
      <c r="CB59" s="196">
        <f t="shared" ref="CB59" si="656">CB58/BW58-1</f>
        <v>0.0452358849131871</v>
      </c>
      <c r="CC59" s="196">
        <f t="shared" ref="CC59" si="657">CC58/BX58-1</f>
        <v>0.0343221021378934</v>
      </c>
      <c r="CD59" s="196">
        <f t="shared" ref="CD59" si="658">CD58/BY58-1</f>
        <v>0.034429243929853</v>
      </c>
      <c r="CE59" s="67">
        <f t="shared" ref="CE59:CF59" si="659">CE58/BZ58-1</f>
        <v>0.0394540709562998</v>
      </c>
      <c r="CF59" s="196">
        <f t="shared" si="659"/>
        <v>0.0313467228426119</v>
      </c>
      <c r="CG59" s="196">
        <f t="shared" ref="CG59" si="660">CG58/CB58-1</f>
        <v>0.0281358890035175</v>
      </c>
      <c r="CH59" s="196">
        <f t="shared" ref="CH59" si="661">CH58/CC58-1</f>
        <v>0.0303381814706618</v>
      </c>
      <c r="CI59" s="196">
        <f t="shared" ref="CI59" si="662">CI58/CD58-1</f>
        <v>0.0357701077250601</v>
      </c>
      <c r="CJ59" s="67">
        <f t="shared" ref="CJ59:CK59" si="663">CJ58/CE58-1</f>
        <v>0.0322345834048254</v>
      </c>
      <c r="CK59" s="141">
        <f t="shared" si="663"/>
        <v>0.0417704165850654</v>
      </c>
      <c r="CL59" s="141">
        <f t="shared" ref="CL59" si="664">CL58/CG58-1</f>
        <v>0.0502664426778416</v>
      </c>
      <c r="CM59" s="141">
        <f t="shared" ref="CM59" si="665">CM58/CH58-1</f>
        <v>0.0563943660674877</v>
      </c>
      <c r="CN59" s="141">
        <f t="shared" ref="CN59" si="666">CN58/CI58-1</f>
        <v>0.0599669416222721</v>
      </c>
      <c r="CO59" s="140">
        <f t="shared" ref="CO59:CP59" si="667">CO58/CJ58-1</f>
        <v>0.0555083798053142</v>
      </c>
      <c r="CP59" s="141">
        <f t="shared" si="667"/>
        <v>0.0650925354281542</v>
      </c>
      <c r="CQ59" s="141">
        <f t="shared" ref="CQ59" si="668">CQ58/CL58-1</f>
        <v>0.0660572161234134</v>
      </c>
      <c r="CR59" s="141">
        <f t="shared" ref="CR59" si="669">CR58/CM58-1</f>
        <v>0.0633461681778662</v>
      </c>
      <c r="CS59" s="141">
        <f t="shared" ref="CS59" si="670">CS58/CN58-1</f>
        <v>0.0620358255822251</v>
      </c>
      <c r="CT59" s="140">
        <f t="shared" ref="CT59:CU59" si="671">CT58/CO58-1</f>
        <v>0.0636219112190948</v>
      </c>
      <c r="CU59" s="141">
        <f t="shared" si="671"/>
        <v>0.0592058402394049</v>
      </c>
      <c r="CV59" s="141">
        <f t="shared" ref="CV59" si="672">CV58/CQ58-1</f>
        <v>0.0610697017370598</v>
      </c>
      <c r="CW59" s="141">
        <f t="shared" ref="CW59" si="673">CW58/CR58-1</f>
        <v>0.0615056226572264</v>
      </c>
      <c r="CX59" s="141">
        <f t="shared" ref="CX59" si="674">CX58/CS58-1</f>
        <v>0.0556368204797679</v>
      </c>
      <c r="CY59" s="140">
        <f t="shared" ref="CY59:CZ59" si="675">CY58/CT58-1</f>
        <v>0.0583264666687633</v>
      </c>
      <c r="CZ59" s="141">
        <f t="shared" si="675"/>
        <v>0.0544398538813384</v>
      </c>
      <c r="DA59" s="141">
        <f t="shared" ref="DA59:DC59" si="676">DA58/CV58-1</f>
        <v>0.0526570961998967</v>
      </c>
      <c r="DB59" s="141">
        <f t="shared" si="676"/>
        <v>0.0535746546387406</v>
      </c>
      <c r="DC59" s="141">
        <f t="shared" si="676"/>
        <v>0.0523828008633664</v>
      </c>
      <c r="DD59" s="140">
        <f t="shared" ref="DD59:DE59" si="677">DD58/CY58-1</f>
        <v>0.0523410388122294</v>
      </c>
      <c r="DE59" s="141">
        <f t="shared" si="677"/>
        <v>0.0472665981975555</v>
      </c>
      <c r="DF59" s="141">
        <f t="shared" ref="DF59" si="678">DF58/DA58-1</f>
        <v>0.0484363031282382</v>
      </c>
      <c r="DG59" s="213">
        <v>0.05</v>
      </c>
      <c r="DH59" s="213">
        <v>0.05</v>
      </c>
      <c r="DI59" s="140">
        <f t="shared" ref="DI59" si="679">DI58/DD58-1</f>
        <v>0.0491689919561382</v>
      </c>
      <c r="DJ59" s="213">
        <v>0.05</v>
      </c>
      <c r="DK59" s="213">
        <v>0.05</v>
      </c>
      <c r="DL59" s="213">
        <v>0.05</v>
      </c>
      <c r="DM59" s="213">
        <v>0.05</v>
      </c>
      <c r="DN59" s="140">
        <f t="shared" ref="DN59" si="680">DN58/DI58-1</f>
        <v>0.049988831594036</v>
      </c>
      <c r="DO59" s="213">
        <v>0.05</v>
      </c>
      <c r="DP59" s="213">
        <v>0.05</v>
      </c>
      <c r="DQ59" s="213">
        <v>0.05</v>
      </c>
      <c r="DR59" s="213">
        <v>0.05</v>
      </c>
      <c r="DS59" s="140">
        <f t="shared" ref="DS59" si="681">DS58/DN58-1</f>
        <v>0.0499939003828973</v>
      </c>
    </row>
    <row r="60" spans="2:123">
      <c r="B60" s="33"/>
      <c r="C60" s="119"/>
      <c r="D60" s="120"/>
      <c r="E60" s="120"/>
      <c r="F60" s="120"/>
      <c r="G60" s="120"/>
      <c r="H60" s="119"/>
      <c r="I60" s="120"/>
      <c r="J60" s="120"/>
      <c r="K60" s="120"/>
      <c r="L60" s="120"/>
      <c r="M60" s="119"/>
      <c r="N60" s="120"/>
      <c r="O60" s="120"/>
      <c r="P60" s="120"/>
      <c r="Q60" s="120"/>
      <c r="R60" s="119"/>
      <c r="S60" s="120"/>
      <c r="T60" s="120"/>
      <c r="U60" s="120"/>
      <c r="V60" s="120"/>
      <c r="W60" s="119"/>
      <c r="X60" s="120"/>
      <c r="Y60" s="120"/>
      <c r="Z60" s="120"/>
      <c r="AA60" s="120"/>
      <c r="AB60" s="119"/>
      <c r="AC60" s="120"/>
      <c r="AD60" s="120"/>
      <c r="AE60" s="120"/>
      <c r="AF60" s="120"/>
      <c r="AG60" s="119"/>
      <c r="AH60" s="120"/>
      <c r="AI60" s="120"/>
      <c r="AJ60" s="120"/>
      <c r="AK60" s="120"/>
      <c r="AL60" s="119"/>
      <c r="AM60" s="120"/>
      <c r="AN60" s="120"/>
      <c r="AO60" s="120"/>
      <c r="AP60" s="120"/>
      <c r="AQ60" s="119"/>
      <c r="AR60" s="120"/>
      <c r="AS60" s="120"/>
      <c r="AT60" s="120"/>
      <c r="AU60" s="120"/>
      <c r="AV60" s="119"/>
      <c r="AW60" s="120"/>
      <c r="AX60" s="120"/>
      <c r="AY60" s="120"/>
      <c r="AZ60" s="120"/>
      <c r="BA60" s="119"/>
      <c r="BB60" s="120"/>
      <c r="BC60" s="120"/>
      <c r="BD60" s="120"/>
      <c r="BE60" s="120"/>
      <c r="BF60" s="119"/>
      <c r="BG60" s="120"/>
      <c r="BH60" s="120"/>
      <c r="BI60" s="120"/>
      <c r="BJ60" s="120"/>
      <c r="BK60" s="119"/>
      <c r="BL60" s="120"/>
      <c r="BM60" s="120"/>
      <c r="BN60" s="120"/>
      <c r="BO60" s="120"/>
      <c r="BP60" s="119"/>
      <c r="BQ60" s="120"/>
      <c r="BR60" s="120"/>
      <c r="BS60" s="120"/>
      <c r="BT60" s="120"/>
      <c r="BU60" s="119"/>
      <c r="BV60" s="120"/>
      <c r="BW60" s="120"/>
      <c r="BX60" s="120"/>
      <c r="BY60" s="120"/>
      <c r="BZ60" s="119"/>
      <c r="CA60" s="120"/>
      <c r="CB60" s="120"/>
      <c r="CC60" s="120"/>
      <c r="CD60" s="120"/>
      <c r="CE60" s="119"/>
      <c r="CF60" s="120"/>
      <c r="CG60" s="120"/>
      <c r="CH60" s="120"/>
      <c r="CI60" s="120"/>
      <c r="CJ60" s="119"/>
      <c r="CK60" s="120"/>
      <c r="CL60" s="120"/>
      <c r="CM60" s="120"/>
      <c r="CN60" s="120"/>
      <c r="CO60" s="119"/>
      <c r="CP60" s="120"/>
      <c r="CQ60" s="120"/>
      <c r="CR60" s="120"/>
      <c r="CS60" s="120"/>
      <c r="CT60" s="119"/>
      <c r="CU60" s="120"/>
      <c r="CV60" s="120"/>
      <c r="CW60" s="120"/>
      <c r="CX60" s="120"/>
      <c r="CY60" s="119"/>
      <c r="CZ60" s="120"/>
      <c r="DA60" s="120"/>
      <c r="DB60" s="120"/>
      <c r="DC60" s="120"/>
      <c r="DD60" s="119"/>
      <c r="DE60" s="120"/>
      <c r="DF60" s="120"/>
      <c r="DG60" s="120"/>
      <c r="DH60" s="120"/>
      <c r="DI60" s="119"/>
      <c r="DJ60" s="120"/>
      <c r="DK60" s="120"/>
      <c r="DL60" s="120"/>
      <c r="DM60" s="120"/>
      <c r="DN60" s="119"/>
      <c r="DO60" s="120"/>
      <c r="DP60" s="120"/>
      <c r="DQ60" s="120"/>
      <c r="DR60" s="120"/>
      <c r="DS60" s="119"/>
    </row>
    <row r="61" s="88" customFormat="1" spans="2:123">
      <c r="B61" s="208" t="s">
        <v>311</v>
      </c>
      <c r="C61" s="124"/>
      <c r="D61" s="125"/>
      <c r="E61" s="125"/>
      <c r="F61" s="125"/>
      <c r="G61" s="125"/>
      <c r="H61" s="124"/>
      <c r="I61" s="125"/>
      <c r="J61" s="125"/>
      <c r="K61" s="125"/>
      <c r="L61" s="125"/>
      <c r="M61" s="124"/>
      <c r="N61" s="125"/>
      <c r="O61" s="125"/>
      <c r="P61" s="125"/>
      <c r="Q61" s="760" t="s">
        <v>208</v>
      </c>
      <c r="R61" s="124" t="s">
        <v>208</v>
      </c>
      <c r="S61" s="125">
        <f>(S13+Q13+P13+O13)/S52</f>
        <v>4.24953608275862</v>
      </c>
      <c r="T61" s="125">
        <f>(T13+S13+Q13+P13)/T52</f>
        <v>4.3492811038961</v>
      </c>
      <c r="U61" s="125">
        <f>(U13+T13+S13+Q13)/U52</f>
        <v>3.99765730337079</v>
      </c>
      <c r="V61" s="125">
        <f>(V13+U13+T13+S13)/V52</f>
        <v>3.52855574129353</v>
      </c>
      <c r="W61" s="124">
        <f>W13/W52</f>
        <v>3.99571664225352</v>
      </c>
      <c r="X61" s="125">
        <f>(X13+V13+U13+T13)/X52</f>
        <v>3.47701318446602</v>
      </c>
      <c r="Y61" s="125">
        <f>(Y13+X13+V13+U13)/Y52</f>
        <v>3.57844574879227</v>
      </c>
      <c r="Z61" s="125">
        <f>(Z13+Y13+X13+V13)/Z52</f>
        <v>3.77345714285714</v>
      </c>
      <c r="AA61" s="125">
        <f>(AA13+Z13+Y13+X13)/AA52</f>
        <v>4.1935</v>
      </c>
      <c r="AB61" s="124">
        <f>AB13/AB52</f>
        <v>4.28272340425532</v>
      </c>
      <c r="AC61" s="125">
        <f>(AC13+AA13+Z13+Y13)/AC52</f>
        <v>4.61099547511312</v>
      </c>
      <c r="AD61" s="125">
        <f>(AD13+AC13+AA13+Z13)/AD52</f>
        <v>4.82052991452991</v>
      </c>
      <c r="AE61" s="125">
        <f>(AE13+AD13+AC13+AA13)/AE52</f>
        <v>5.015288</v>
      </c>
      <c r="AF61" s="125">
        <f>(AF13+AE13+AD13+AC13)/AF52</f>
        <v>5.51708527131783</v>
      </c>
      <c r="AG61" s="124">
        <f>AG13/AG52</f>
        <v>5.78621138211382</v>
      </c>
      <c r="AH61" s="125">
        <f>(AH13+AF13+AE13+AD13)/AH52</f>
        <v>5.71569172932331</v>
      </c>
      <c r="AI61" s="125">
        <f>(AI13+AH13+AF13+AE13)/AI52</f>
        <v>5.88030107526882</v>
      </c>
      <c r="AJ61" s="125">
        <f>(AJ13+AI13+AH13+AF13)/AJ52</f>
        <v>5.71711111111111</v>
      </c>
      <c r="AK61" s="125">
        <f>(AK13+AJ13+AI13+AH13)/AK52</f>
        <v>6.04736555891239</v>
      </c>
      <c r="AL61" s="124">
        <f>AL13/AL52</f>
        <v>6.56287868852459</v>
      </c>
      <c r="AM61" s="125">
        <f>(AM13+AK13+AJ13+AI13)/AM52</f>
        <v>6.43132748538012</v>
      </c>
      <c r="AN61" s="125">
        <f>(AN13+AM13+AK13+AJ13)/AN52</f>
        <v>6.5919323943662</v>
      </c>
      <c r="AO61" s="125">
        <f>(AO13+AN13+AM13+AK13)/AO52</f>
        <v>6.68292021276596</v>
      </c>
      <c r="AP61" s="125">
        <f>(AP13+AO13+AN13+AM13)/AP52</f>
        <v>6.90374811083124</v>
      </c>
      <c r="AQ61" s="124">
        <f>AQ13/AQ52</f>
        <v>7.28932978723404</v>
      </c>
      <c r="AR61" s="125">
        <f>(AR13+AP13+AO13+AN13)/AR52</f>
        <v>6.92725423728814</v>
      </c>
      <c r="AS61" s="125">
        <f>(AS13+AR13+AP13+AO13)/AS52</f>
        <v>6.98996252927401</v>
      </c>
      <c r="AT61" s="125">
        <f>(AT13+AS13+AR13+AP13)/AT52</f>
        <v>6.86852097130243</v>
      </c>
      <c r="AU61" s="125">
        <f>(AU13+AT13+AS13+AR13)/AU52</f>
        <v>6.65769037656904</v>
      </c>
      <c r="AV61" s="124">
        <f>AV13/AV52</f>
        <v>7.03287513812155</v>
      </c>
      <c r="AW61" s="125">
        <f>(AW13+AU13+AT13+AS13)/AW52</f>
        <v>6.66676482617587</v>
      </c>
      <c r="AX61" s="125">
        <f>(AX13+AW13+AU13+AT13)/AX52</f>
        <v>6.71838877755511</v>
      </c>
      <c r="AY61" s="125">
        <f>(AY13+AX13+AW13+AU13)/AY52</f>
        <v>6.59897692307692</v>
      </c>
      <c r="AZ61" s="125">
        <f>(AZ13+AY13+AX13+AW13)/AZ52</f>
        <v>6.5591605839416</v>
      </c>
      <c r="BA61" s="124">
        <f>BA13/BA52</f>
        <v>6.86613180515759</v>
      </c>
      <c r="BB61" s="125">
        <f>(BB13+AZ13+AY13+AX13)/BB52</f>
        <v>6.47667019400353</v>
      </c>
      <c r="BC61" s="125">
        <f>(BC13+BB13+AZ13+AY13)/BC52</f>
        <v>6.4572074829932</v>
      </c>
      <c r="BD61" s="125">
        <f>(BD13+BC13+BB13+AZ13)/BD52</f>
        <v>6.38018241042345</v>
      </c>
      <c r="BE61" s="125">
        <f>(BE13+BD13+BC13+BB13)/BE52</f>
        <v>6.51034123222749</v>
      </c>
      <c r="BF61" s="124">
        <f>BF13/BF52</f>
        <v>6.7502800982801</v>
      </c>
      <c r="BG61" s="125">
        <f>(BG13+BE13+BD13+BC13)/BG52</f>
        <v>6.62265527950311</v>
      </c>
      <c r="BH61" s="125">
        <f>(BH13+BG13+BE13+BD13)/BH52</f>
        <v>6.74041474654378</v>
      </c>
      <c r="BI61" s="125">
        <f>(BI13+BH13+BG13+BE13)/BI52</f>
        <v>6.82395166163142</v>
      </c>
      <c r="BJ61" s="125">
        <f>(BJ13+BI13+BH13+BG13)/BJ52</f>
        <v>6.83496209912536</v>
      </c>
      <c r="BK61" s="124">
        <f>BK13/BK52</f>
        <v>7.01388780852655</v>
      </c>
      <c r="BL61" s="125">
        <f>(BL13+BJ13+BI13+BH13)/BL52</f>
        <v>6.70207355021216</v>
      </c>
      <c r="BM61" s="125">
        <f>(BM13+BL13+BJ13+BI13)/BM52</f>
        <v>6.74713850415513</v>
      </c>
      <c r="BN61" s="125">
        <f>(BN13+BM13+BL13+BJ13)/BN52</f>
        <v>6.72111111111111</v>
      </c>
      <c r="BO61" s="125">
        <f>(BO13+BN13+BM13+BL13)/BO52</f>
        <v>6.81021850899743</v>
      </c>
      <c r="BP61" s="124">
        <f>BP13/BP52</f>
        <v>7.06446666666667</v>
      </c>
      <c r="BQ61" s="125">
        <f>(BQ13+BO13+BN13+BM13)/BQ52</f>
        <v>6.93764794007491</v>
      </c>
      <c r="BR61" s="125">
        <f>(BR13+BQ13+BO13+BN13)/BR52</f>
        <v>7.19451724137931</v>
      </c>
      <c r="BS61" s="125">
        <f>(BS13+BR13+BQ13+BO13)/BS52</f>
        <v>7.37507859733978</v>
      </c>
      <c r="BT61" s="125">
        <f>(BT13+BS13+BR13+BQ13)/BT52</f>
        <v>7.71905868544601</v>
      </c>
      <c r="BU61" s="124">
        <f>BU13/BU52</f>
        <v>7.90461298076923</v>
      </c>
      <c r="BV61" s="125">
        <f>(BV13+BT13+BS13+BR13)/BV52</f>
        <v>7.76611577752554</v>
      </c>
      <c r="BW61" s="125">
        <f>(BW13+BV13+BT13+BS13)/BW52</f>
        <v>7.94855937846837</v>
      </c>
      <c r="BX61" s="125">
        <f>(BX13+BW13+BV13+BT13)/BX52</f>
        <v>8.09777753779698</v>
      </c>
      <c r="BY61" s="125">
        <f>(BY13+BX13+BW13+BV13)/BY52</f>
        <v>8.29013958333333</v>
      </c>
      <c r="BZ61" s="124">
        <f>BZ13/BZ52</f>
        <v>8.55296507254164</v>
      </c>
      <c r="CA61" s="125">
        <f>(CA13+BY13+BX13+BW13)/CA52</f>
        <v>7.88711885245902</v>
      </c>
      <c r="CB61" s="125">
        <f>(CB13+CA13+BY13+BX13)/CB52</f>
        <v>7.77588140703518</v>
      </c>
      <c r="CC61" s="125">
        <f>(CC13+CB13+CA13+BY13)/CC52</f>
        <v>7.97223702252693</v>
      </c>
      <c r="CD61" s="125">
        <f>(CD13+CC13+CB13+CA13)/CD52</f>
        <v>8.49783590733591</v>
      </c>
      <c r="CE61" s="124">
        <f>CE13/CE52</f>
        <v>8.66938257016248</v>
      </c>
      <c r="CF61" s="125">
        <f>(CF13+CD13+CC13+CB13)/CF52</f>
        <v>9.53331992337165</v>
      </c>
      <c r="CG61" s="125">
        <f>(CG13+CF13+CD13+CC13)/CG52</f>
        <v>10.4523595080416</v>
      </c>
      <c r="CH61" s="125">
        <f>(CH13+CG13+CF13+CD13)/CH52</f>
        <v>10.7864953959484</v>
      </c>
      <c r="CI61" s="125">
        <f>(CI13+CH13+CG13+CF13)/CI52</f>
        <v>11.1129964476021</v>
      </c>
      <c r="CJ61" s="124">
        <f>CJ13/CJ52</f>
        <v>11.4642546953733</v>
      </c>
      <c r="CK61" s="125">
        <f>(CK13+CI13+CH13+CG13)/CK52</f>
        <v>11.5240312228968</v>
      </c>
      <c r="CL61" s="125">
        <f>(CL13+CK13+CI13+CH13)/CL52</f>
        <v>11.9784800678541</v>
      </c>
      <c r="CM61" s="125">
        <f>(CM13+CL13+CK13+CI13)/CM52</f>
        <v>12.2122354865086</v>
      </c>
      <c r="CN61" s="125">
        <f>(CN13+CM13+CL13+CK13)/CN52</f>
        <v>12.6925164319249</v>
      </c>
      <c r="CO61" s="124">
        <f>CO13/CO52</f>
        <v>13.2039365079365</v>
      </c>
      <c r="CP61" s="125">
        <f>(CP13+CN13+CM13+CL13)/CP52</f>
        <v>12.9048549734244</v>
      </c>
      <c r="CQ61" s="125">
        <f>(CQ13+CP13+CN13+CM13)/CQ52</f>
        <v>13.2514002998501</v>
      </c>
      <c r="CR61" s="125">
        <f>(CR13+CQ13+CP13+CN13)/CR52</f>
        <v>13.5287378497791</v>
      </c>
      <c r="CS61" s="125">
        <f>(CS13+CR13+CQ13+CP13)/CS52</f>
        <v>13.7713357193987</v>
      </c>
      <c r="CT61" s="124">
        <f>CT13/CT52</f>
        <v>14.0890194068107</v>
      </c>
      <c r="CU61" s="125">
        <f>(CU13+CS13+CR13+CQ13)/CU52</f>
        <v>13.8219085794655</v>
      </c>
      <c r="CV61" s="125">
        <f>(CV13+CU13+CS13+CR13)/CV52</f>
        <v>13.9515223463687</v>
      </c>
      <c r="CW61" s="125">
        <f>(CW13+CV13+CU13+CS13)/CW52</f>
        <v>13.8526965986395</v>
      </c>
      <c r="CX61" s="125">
        <f>(CX13+CW13+CV13+CU13)/CX52</f>
        <v>13.9685039577836</v>
      </c>
      <c r="CY61" s="124">
        <f>CY13/CY52</f>
        <v>14.3665210312076</v>
      </c>
      <c r="CZ61" s="125">
        <f>(CZ13+CX13+CW13+CV13)/CZ52</f>
        <v>13.9881522446324</v>
      </c>
      <c r="DA61" s="125">
        <f>(DA13+CZ13+CX13+CW13)/DA52</f>
        <v>14.0335083655084</v>
      </c>
      <c r="DB61" s="125">
        <f>(DB13+DA13+CZ13+CX13)/DB52</f>
        <v>14.0168303797468</v>
      </c>
      <c r="DC61" s="125">
        <f>(DC13+DB13+DA13+CZ13)/DC52</f>
        <v>13.8177971375233</v>
      </c>
      <c r="DD61" s="124">
        <f>DD13/DD52</f>
        <v>14.0494780132869</v>
      </c>
      <c r="DE61" s="125">
        <f>(DE13+DC13+DB13+DA13)/DE52</f>
        <v>13.7720258143823</v>
      </c>
      <c r="DF61" s="125">
        <f>(DF13+DE13+DC13+DB13)/DF52</f>
        <v>13.5209689213894</v>
      </c>
      <c r="DG61" s="125">
        <f>(DG13+DF13+DE13+DC13)/DG52</f>
        <v>13.0646100527504</v>
      </c>
      <c r="DH61" s="125">
        <f>(DH13+DG13+DF13+DE13)/DH52</f>
        <v>12.4528288548794</v>
      </c>
      <c r="DI61" s="124">
        <f>DI13/DI52</f>
        <v>12.602772609905</v>
      </c>
      <c r="DJ61" s="125">
        <f>(DJ13+DH13+DG13+DF13)/DJ52</f>
        <v>12.2339702576763</v>
      </c>
      <c r="DK61" s="125">
        <f>(DK13+DJ13+DH13+DG13)/DK52</f>
        <v>12.0612129599633</v>
      </c>
      <c r="DL61" s="125">
        <f>(DL13+DK13+DJ13+DH13)/DL52</f>
        <v>11.9229286822507</v>
      </c>
      <c r="DM61" s="125">
        <f>(DM13+DL13+DK13+DJ13)/DM52</f>
        <v>11.7301078117615</v>
      </c>
      <c r="DN61" s="124">
        <f>DN13/DN52</f>
        <v>11.8629014851022</v>
      </c>
      <c r="DO61" s="125">
        <f>(DO13+DM13+DL13+DK13)/DO52</f>
        <v>11.678479636145</v>
      </c>
      <c r="DP61" s="125">
        <f>(DP13+DO13+DM13+DL13)/DP52</f>
        <v>11.6423855749282</v>
      </c>
      <c r="DQ61" s="125">
        <f>(DQ13+DP13+DO13+DM13)/DQ52</f>
        <v>11.5657224674015</v>
      </c>
      <c r="DR61" s="125">
        <f>(DR13+DQ13+DP13+DO13)/DR52</f>
        <v>11.4534222706038</v>
      </c>
      <c r="DS61" s="124">
        <f>DS13/DS52</f>
        <v>11.5785787482036</v>
      </c>
    </row>
    <row r="62" s="1" customFormat="1" spans="2:123">
      <c r="B62" s="174" t="s">
        <v>307</v>
      </c>
      <c r="C62" s="67"/>
      <c r="D62" s="196"/>
      <c r="E62" s="196"/>
      <c r="F62" s="196"/>
      <c r="G62" s="196"/>
      <c r="H62" s="67"/>
      <c r="I62" s="196"/>
      <c r="J62" s="196"/>
      <c r="K62" s="196"/>
      <c r="L62" s="196"/>
      <c r="M62" s="67"/>
      <c r="N62" s="196"/>
      <c r="O62" s="196"/>
      <c r="P62" s="196"/>
      <c r="Q62" s="757" t="s">
        <v>208</v>
      </c>
      <c r="R62" s="67" t="s">
        <v>208</v>
      </c>
      <c r="S62" s="196" t="s">
        <v>208</v>
      </c>
      <c r="T62" s="196" t="s">
        <v>208</v>
      </c>
      <c r="U62" s="196" t="s">
        <v>208</v>
      </c>
      <c r="V62" s="196" t="s">
        <v>208</v>
      </c>
      <c r="W62" s="67" t="s">
        <v>208</v>
      </c>
      <c r="X62" s="196">
        <f>X61/S61-1</f>
        <v>-0.18178993735973</v>
      </c>
      <c r="Y62" s="196">
        <f t="shared" ref="Y62:AC62" si="682">Y61/T61-1</f>
        <v>-0.177232820020144</v>
      </c>
      <c r="Z62" s="196">
        <f t="shared" si="682"/>
        <v>-0.0560828864256572</v>
      </c>
      <c r="AA62" s="196">
        <f t="shared" si="682"/>
        <v>0.188446579127217</v>
      </c>
      <c r="AB62" s="67">
        <f t="shared" si="682"/>
        <v>0.0718286074059375</v>
      </c>
      <c r="AC62" s="196">
        <f t="shared" si="682"/>
        <v>0.326136896953197</v>
      </c>
      <c r="AD62" s="196">
        <f t="shared" ref="AD62" si="683">AD61/Y61-1</f>
        <v>0.347101577872698</v>
      </c>
      <c r="AE62" s="196">
        <f t="shared" ref="AE62" si="684">AE61/Z61-1</f>
        <v>0.329096319403957</v>
      </c>
      <c r="AF62" s="196">
        <f t="shared" ref="AF62" si="685">AF61/AA61-1</f>
        <v>0.315627821942966</v>
      </c>
      <c r="AG62" s="67">
        <f t="shared" ref="AG62:AH62" si="686">AG61/AB61-1</f>
        <v>0.351058855765617</v>
      </c>
      <c r="AH62" s="196">
        <f t="shared" si="686"/>
        <v>0.239578689715171</v>
      </c>
      <c r="AI62" s="196">
        <f t="shared" ref="AI62" si="687">AI61/AD61-1</f>
        <v>0.219845365453405</v>
      </c>
      <c r="AJ62" s="196">
        <f t="shared" ref="AJ62" si="688">AJ61/AE61-1</f>
        <v>0.139936751610498</v>
      </c>
      <c r="AK62" s="196">
        <f t="shared" ref="AK62" si="689">AK61/AF61-1</f>
        <v>0.0961160216883674</v>
      </c>
      <c r="AL62" s="67">
        <f t="shared" ref="AL62:AM62" si="690">AL61/AG61-1</f>
        <v>0.134227261176732</v>
      </c>
      <c r="AM62" s="196">
        <f t="shared" si="690"/>
        <v>0.125205450179437</v>
      </c>
      <c r="AN62" s="196">
        <f t="shared" ref="AN62" si="691">AN61/AI61-1</f>
        <v>0.121019537943446</v>
      </c>
      <c r="AO62" s="196">
        <f t="shared" ref="AO62" si="692">AO61/AJ61-1</f>
        <v>0.168933064774238</v>
      </c>
      <c r="AP62" s="196">
        <f t="shared" ref="AP62" si="693">AP61/AK61-1</f>
        <v>0.141612499455526</v>
      </c>
      <c r="AQ62" s="67">
        <f t="shared" ref="AQ62:AR62" si="694">AQ61/AL61-1</f>
        <v>0.110690922868904</v>
      </c>
      <c r="AR62" s="196">
        <f t="shared" si="694"/>
        <v>0.0771111023401274</v>
      </c>
      <c r="AS62" s="196">
        <f t="shared" ref="AS62" si="695">AS61/AN61-1</f>
        <v>0.0603814042826023</v>
      </c>
      <c r="AT62" s="196">
        <f t="shared" ref="AT62" si="696">AT61/AO61-1</f>
        <v>0.027772403773717</v>
      </c>
      <c r="AU62" s="196">
        <f t="shared" ref="AU62" si="697">AU61/AP61-1</f>
        <v>-0.0356411807487819</v>
      </c>
      <c r="AV62" s="67">
        <f t="shared" ref="AV62:AW62" si="698">AV61/AQ61-1</f>
        <v>-0.0351821987203308</v>
      </c>
      <c r="AW62" s="196">
        <f t="shared" si="698"/>
        <v>-0.0376035586668816</v>
      </c>
      <c r="AX62" s="196">
        <f t="shared" ref="AX62" si="699">AX61/AS61-1</f>
        <v>-0.0388519610200401</v>
      </c>
      <c r="AY62" s="196">
        <f t="shared" ref="AY62" si="700">AY61/AT61-1</f>
        <v>-0.0392433901493053</v>
      </c>
      <c r="AZ62" s="196">
        <f t="shared" ref="AZ62" si="701">AZ61/AU61-1</f>
        <v>-0.0147993954441313</v>
      </c>
      <c r="BA62" s="67">
        <f t="shared" ref="BA62:BB62" si="702">BA61/AV61-1</f>
        <v>-0.0237091274463449</v>
      </c>
      <c r="BB62" s="196">
        <f t="shared" si="702"/>
        <v>-0.0285137749911274</v>
      </c>
      <c r="BC62" s="196">
        <f t="shared" ref="BC62" si="703">BC61/AX61-1</f>
        <v>-0.0388755850858873</v>
      </c>
      <c r="BD62" s="196">
        <f t="shared" ref="BD62" si="704">BD61/AY61-1</f>
        <v>-0.0331558232744134</v>
      </c>
      <c r="BE62" s="196">
        <f t="shared" ref="BE62" si="705">BE61/AZ61-1</f>
        <v>-0.0074429267418209</v>
      </c>
      <c r="BF62" s="67">
        <f t="shared" ref="BF62:BG62" si="706">BF61/BA61-1</f>
        <v>-0.016872922070979</v>
      </c>
      <c r="BG62" s="196">
        <f t="shared" si="706"/>
        <v>0.0225401450323561</v>
      </c>
      <c r="BH62" s="196">
        <f t="shared" ref="BH62" si="707">BH61/BC61-1</f>
        <v>0.0438590930052172</v>
      </c>
      <c r="BI62" s="196">
        <f t="shared" ref="BI62" si="708">BI61/BD61-1</f>
        <v>0.0695543203408999</v>
      </c>
      <c r="BJ62" s="196">
        <f t="shared" ref="BJ62" si="709">BJ61/BE61-1</f>
        <v>0.0498623428970109</v>
      </c>
      <c r="BK62" s="67">
        <f t="shared" ref="BK62:BL62" si="710">BK61/BF61-1</f>
        <v>0.039051373633165</v>
      </c>
      <c r="BL62" s="196">
        <f t="shared" si="710"/>
        <v>0.0119919076801198</v>
      </c>
      <c r="BM62" s="196">
        <f t="shared" ref="BM62" si="711">BM61/BH61-1</f>
        <v>0.000997528767023415</v>
      </c>
      <c r="BN62" s="196">
        <f t="shared" ref="BN62" si="712">BN61/BI61-1</f>
        <v>-0.0150705274040178</v>
      </c>
      <c r="BO62" s="196">
        <f t="shared" ref="BO62" si="713">BO61/BJ61-1</f>
        <v>-0.00362015030501783</v>
      </c>
      <c r="BP62" s="67">
        <f t="shared" ref="BP62:BQ62" si="714">BP61/BK61-1</f>
        <v>0.00721124425153019</v>
      </c>
      <c r="BQ62" s="196">
        <f t="shared" si="714"/>
        <v>0.0351494784558557</v>
      </c>
      <c r="BR62" s="196">
        <f t="shared" ref="BR62" si="715">BR61/BM61-1</f>
        <v>0.0663064404189531</v>
      </c>
      <c r="BS62" s="196">
        <f t="shared" ref="BS62" si="716">BS61/BN61-1</f>
        <v>0.0973005021666069</v>
      </c>
      <c r="BT62" s="196">
        <f t="shared" ref="BT62" si="717">BT61/BO61-1</f>
        <v>0.133452425241253</v>
      </c>
      <c r="BU62" s="67">
        <f t="shared" ref="BU62:BV62" si="718">BU61/BP61-1</f>
        <v>0.118925653378301</v>
      </c>
      <c r="BV62" s="196">
        <f t="shared" si="718"/>
        <v>0.119416240865299</v>
      </c>
      <c r="BW62" s="196">
        <f t="shared" ref="BW62" si="719">BW61/BR61-1</f>
        <v>0.104807885197937</v>
      </c>
      <c r="BX62" s="196">
        <f t="shared" ref="BX62" si="720">BX61/BS61-1</f>
        <v>0.0979920323449668</v>
      </c>
      <c r="BY62" s="196">
        <f t="shared" ref="BY62" si="721">BY61/BT61-1</f>
        <v>0.0739832304894996</v>
      </c>
      <c r="BZ62" s="67">
        <f t="shared" ref="BZ62:CA62" si="722">BZ61/BU61-1</f>
        <v>0.0820219906211423</v>
      </c>
      <c r="CA62" s="196">
        <f t="shared" si="722"/>
        <v>0.0155809002080101</v>
      </c>
      <c r="CB62" s="196">
        <f t="shared" ref="CB62" si="723">CB61/BW61-1</f>
        <v>-0.0217244362419882</v>
      </c>
      <c r="CC62" s="196">
        <f t="shared" ref="CC62" si="724">CC61/BX61-1</f>
        <v>-0.0155030827512946</v>
      </c>
      <c r="CD62" s="196">
        <f t="shared" ref="CD62" si="725">CD61/BY61-1</f>
        <v>0.0250534170039949</v>
      </c>
      <c r="CE62" s="67">
        <f t="shared" ref="CE62:CF62" si="726">CE61/BZ61-1</f>
        <v>0.0136113612803801</v>
      </c>
      <c r="CF62" s="196">
        <f t="shared" si="726"/>
        <v>0.208720205908826</v>
      </c>
      <c r="CG62" s="196">
        <f t="shared" ref="CG62" si="727">CG61/CB61-1</f>
        <v>0.344202536137566</v>
      </c>
      <c r="CH62" s="196">
        <f t="shared" ref="CH62" si="728">CH61/CC61-1</f>
        <v>0.353007363613165</v>
      </c>
      <c r="CI62" s="196">
        <f t="shared" ref="CI62" si="729">CI61/CD61-1</f>
        <v>0.307744297346179</v>
      </c>
      <c r="CJ62" s="67">
        <f t="shared" ref="CJ62:CK62" si="730">CJ61/CE61-1</f>
        <v>0.322384218552081</v>
      </c>
      <c r="CK62" s="196">
        <f t="shared" si="730"/>
        <v>0.208816164308592</v>
      </c>
      <c r="CL62" s="196">
        <f t="shared" ref="CL62" si="731">CL61/CG61-1</f>
        <v>0.146007277939335</v>
      </c>
      <c r="CM62" s="196">
        <f t="shared" ref="CM62" si="732">CM61/CH61-1</f>
        <v>0.132178250509029</v>
      </c>
      <c r="CN62" s="196">
        <f t="shared" ref="CN62" si="733">CN61/CI61-1</f>
        <v>0.142132681475262</v>
      </c>
      <c r="CO62" s="67">
        <f t="shared" ref="CO62:CP62" si="734">CO61/CJ61-1</f>
        <v>0.151748356852649</v>
      </c>
      <c r="CP62" s="196">
        <f t="shared" si="734"/>
        <v>0.119821243436423</v>
      </c>
      <c r="CQ62" s="196">
        <f t="shared" ref="CQ62" si="735">CQ61/CL61-1</f>
        <v>0.106267258014814</v>
      </c>
      <c r="CR62" s="196">
        <f t="shared" ref="CR62" si="736">CR61/CM61-1</f>
        <v>0.10780191429529</v>
      </c>
      <c r="CS62" s="196">
        <f t="shared" ref="CS62" si="737">CS61/CN61-1</f>
        <v>0.0849964853904248</v>
      </c>
      <c r="CT62" s="67">
        <f t="shared" ref="CT62:CU62" si="738">CT61/CO61-1</f>
        <v>0.06703174453635</v>
      </c>
      <c r="CU62" s="196">
        <f t="shared" si="738"/>
        <v>0.0710626820626519</v>
      </c>
      <c r="CV62" s="196">
        <f t="shared" ref="CV62" si="739">CV61/CQ61-1</f>
        <v>0.0528338161006696</v>
      </c>
      <c r="CW62" s="196">
        <f t="shared" ref="CW62" si="740">CW61/CR61-1</f>
        <v>0.0239459698648576</v>
      </c>
      <c r="CX62" s="196">
        <f t="shared" ref="CX62" si="741">CX61/CS61-1</f>
        <v>0.0143172922657888</v>
      </c>
      <c r="CY62" s="67">
        <f t="shared" ref="CY62:CZ62" si="742">CY61/CT61-1</f>
        <v>0.0196963050716477</v>
      </c>
      <c r="CZ62" s="196">
        <f t="shared" si="742"/>
        <v>0.0120275477305527</v>
      </c>
      <c r="DA62" s="196">
        <f t="shared" ref="DA62" si="743">DA61/CV61-1</f>
        <v>0.00587649269407442</v>
      </c>
      <c r="DB62" s="196">
        <f t="shared" ref="DB62" si="744">DB61/CW61-1</f>
        <v>0.0118485076128427</v>
      </c>
      <c r="DC62" s="196">
        <f t="shared" ref="DC62" si="745">DC61/CX61-1</f>
        <v>-0.0107890451773348</v>
      </c>
      <c r="DD62" s="67">
        <f t="shared" ref="DD62:DE62" si="746">DD61/CY61-1</f>
        <v>-0.0220681831900688</v>
      </c>
      <c r="DE62" s="196">
        <f t="shared" si="746"/>
        <v>-0.0154506775784508</v>
      </c>
      <c r="DF62" s="196">
        <f t="shared" ref="DF62" si="747">DF61/DA61-1</f>
        <v>-0.0365225452374185</v>
      </c>
      <c r="DG62" s="196">
        <f t="shared" ref="DG62" si="748">DG61/DB61-1</f>
        <v>-0.0679340693436857</v>
      </c>
      <c r="DH62" s="196">
        <f t="shared" ref="DH62" si="749">DH61/DC61-1</f>
        <v>-0.0987833494050405</v>
      </c>
      <c r="DI62" s="67">
        <f t="shared" ref="DI62:DJ62" si="750">DI61/DD61-1</f>
        <v>-0.102972181743244</v>
      </c>
      <c r="DJ62" s="196">
        <f t="shared" si="750"/>
        <v>-0.111679688771699</v>
      </c>
      <c r="DK62" s="196">
        <f t="shared" ref="DK62" si="751">DK61/DF61-1</f>
        <v>-0.107962378281693</v>
      </c>
      <c r="DL62" s="196">
        <f t="shared" ref="DL62" si="752">DL61/DG61-1</f>
        <v>-0.0873873285073161</v>
      </c>
      <c r="DM62" s="196">
        <f t="shared" ref="DM62" si="753">DM61/DH61-1</f>
        <v>-0.0580366960423375</v>
      </c>
      <c r="DN62" s="67">
        <f t="shared" ref="DN62:DO62" si="754">DN61/DI61-1</f>
        <v>-0.0587070121555106</v>
      </c>
      <c r="DO62" s="196">
        <f t="shared" si="754"/>
        <v>-0.0454055886871844</v>
      </c>
      <c r="DP62" s="196">
        <f t="shared" ref="DP62" si="755">DP61/DK61-1</f>
        <v>-0.0347251463368921</v>
      </c>
      <c r="DQ62" s="196">
        <f t="shared" ref="DQ62" si="756">DQ61/DL61-1</f>
        <v>-0.0299596034136325</v>
      </c>
      <c r="DR62" s="196">
        <f t="shared" ref="DR62" si="757">DR61/DM61-1</f>
        <v>-0.0235876383744995</v>
      </c>
      <c r="DS62" s="67">
        <f t="shared" ref="DS62" si="758">DS61/DN61-1</f>
        <v>-0.0239673858251052</v>
      </c>
    </row>
    <row r="63" s="91" customFormat="1" spans="2:123">
      <c r="B63" s="214" t="s">
        <v>312</v>
      </c>
      <c r="C63" s="215"/>
      <c r="D63" s="187"/>
      <c r="E63" s="187"/>
      <c r="F63" s="187"/>
      <c r="G63" s="187"/>
      <c r="H63" s="215"/>
      <c r="I63" s="187"/>
      <c r="J63" s="187"/>
      <c r="K63" s="187"/>
      <c r="L63" s="187"/>
      <c r="M63" s="215"/>
      <c r="N63" s="187"/>
      <c r="O63" s="187"/>
      <c r="P63" s="187"/>
      <c r="Q63" s="762" t="s">
        <v>208</v>
      </c>
      <c r="R63" s="215" t="s">
        <v>208</v>
      </c>
      <c r="S63" s="187">
        <f>(S13+Q13+P13+O13)/S56</f>
        <v>1587.93611998763</v>
      </c>
      <c r="T63" s="187">
        <f>(T13+S13+Q13+P13)/T56</f>
        <v>1546.71459911325</v>
      </c>
      <c r="U63" s="187">
        <f>(U13+T13+S13+Q13)/U56</f>
        <v>1407.57012303675</v>
      </c>
      <c r="V63" s="187">
        <f>(V13+U13+T13+S13)/V56</f>
        <v>1294.13857382673</v>
      </c>
      <c r="W63" s="215">
        <f>W13/W56</f>
        <v>1445.83459860562</v>
      </c>
      <c r="X63" s="187">
        <f>(X13+V13+U13+T13)/X56</f>
        <v>1306.95700313846</v>
      </c>
      <c r="Y63" s="187">
        <f>(Y13+X13+V13+U13)/Y56</f>
        <v>1344.74306513688</v>
      </c>
      <c r="Z63" s="187">
        <f>(Z13+Y13+X13+V13)/Z56</f>
        <v>1416.96945855089</v>
      </c>
      <c r="AA63" s="187">
        <f>(AA13+Z13+Y13+X13)/AA56</f>
        <v>1513.64593429364</v>
      </c>
      <c r="AB63" s="215">
        <f>AB13/AB56</f>
        <v>1576.31171362442</v>
      </c>
      <c r="AC63" s="187">
        <f>(AC13+AA13+Z13+Y13)/AC56</f>
        <v>1589.7503900156</v>
      </c>
      <c r="AD63" s="187">
        <f>(AD13+AC13+AA13+Z13)/AD56</f>
        <v>1671.11703703704</v>
      </c>
      <c r="AE63" s="187">
        <f>(AE13+AD13+AC13+AA13)/AE56</f>
        <v>1756.05322128852</v>
      </c>
      <c r="AF63" s="187">
        <f>(AF13+AE13+AD13+AC13)/AF56</f>
        <v>1928.73712737127</v>
      </c>
      <c r="AG63" s="215">
        <f>AG13/AG56</f>
        <v>2014.73177636235</v>
      </c>
      <c r="AH63" s="187">
        <f>(AH13+AF13+AE13+AD13)/AH56</f>
        <v>2000.49210526316</v>
      </c>
      <c r="AI63" s="187">
        <f>(AI13+AH13+AF13+AE13)/AI56</f>
        <v>2045.64089775561</v>
      </c>
      <c r="AJ63" s="187">
        <f>(AJ13+AI13+AH13+AF13)/AJ56</f>
        <v>1974.53273137697</v>
      </c>
      <c r="AK63" s="187">
        <f>(AK13+AJ13+AI13+AH13)/AK56</f>
        <v>2076.42946058091</v>
      </c>
      <c r="AL63" s="215">
        <f>AL13/AL56</f>
        <v>2266.90600226501</v>
      </c>
      <c r="AM63" s="187">
        <f>(AM13+AK13+AJ13+AI13)/AM56</f>
        <v>2195.12375249501</v>
      </c>
      <c r="AN63" s="187">
        <f>(AN13+AM13+AK13+AJ13)/AN56</f>
        <v>2237.22370936902</v>
      </c>
      <c r="AO63" s="187">
        <f>(AO13+AN13+AM13+AK13)/AO56</f>
        <v>2261.72637263726</v>
      </c>
      <c r="AP63" s="187">
        <f>(AP13+AO13+AN13+AM13)/AP56</f>
        <v>2332.58553191489</v>
      </c>
      <c r="AQ63" s="215">
        <f>AQ13/AQ56</f>
        <v>2468.06663665016</v>
      </c>
      <c r="AR63" s="187">
        <f>(AR13+AP13+AO13+AN13)/AR56</f>
        <v>2327.87306753458</v>
      </c>
      <c r="AS63" s="187">
        <f>(AS13+AR13+AP13+AO13)/AS56</f>
        <v>2329.987509758</v>
      </c>
      <c r="AT63" s="187">
        <f>(AT13+AS13+AR13+AP13)/AT56</f>
        <v>2267.81341107872</v>
      </c>
      <c r="AU63" s="187">
        <f>(AU13+AT13+AS13+AR13)/AU56</f>
        <v>2182.69958847737</v>
      </c>
      <c r="AV63" s="215">
        <f>AV13/AV56</f>
        <v>2323.75027382256</v>
      </c>
      <c r="AW63" s="187">
        <f>(AW13+AU13+AT13+AS13)/AW56</f>
        <v>2167.58510638298</v>
      </c>
      <c r="AX63" s="187">
        <f>(AX13+AW13+AU13+AT13)/AX56</f>
        <v>2161.49323017408</v>
      </c>
      <c r="AY63" s="187">
        <f>(AY13+AX13+AW13+AU13)/AY56</f>
        <v>2098.75718654434</v>
      </c>
      <c r="AZ63" s="187">
        <f>(AZ13+AY13+AX13+AW13)/AZ56</f>
        <v>2070.51843317972</v>
      </c>
      <c r="BA63" s="215">
        <f>BA13/BA56</f>
        <v>2187.05202312139</v>
      </c>
      <c r="BB63" s="187">
        <f>(BB13+AZ13+AY13+AX13)/BB56</f>
        <v>2018.84112149533</v>
      </c>
      <c r="BC63" s="187">
        <f>(BC13+BB13+AZ13+AY13)/BC56</f>
        <v>1981.64822546973</v>
      </c>
      <c r="BD63" s="187">
        <f>(BD13+BC13+BB13+AZ13)/BD56</f>
        <v>1938.36318654132</v>
      </c>
      <c r="BE63" s="187">
        <f>(BE13+BD13+BC13+BB13)/BE56</f>
        <v>1955.88324632178</v>
      </c>
      <c r="BF63" s="215">
        <f>BF13/BF56</f>
        <v>2048.74272930649</v>
      </c>
      <c r="BG63" s="187">
        <f>(BG13+BE13+BD13+BC13)/BG56</f>
        <v>1969.06278855032</v>
      </c>
      <c r="BH63" s="187">
        <f>(BH13+BG13+BE13+BD13)/BH56</f>
        <v>1983.72965641953</v>
      </c>
      <c r="BI63" s="187">
        <f>(BI13+BH13+BG13+BE13)/BI56</f>
        <v>1997.99026979213</v>
      </c>
      <c r="BJ63" s="187">
        <f>(BJ13+BI13+BH13+BG13)/BJ56</f>
        <v>2008.90488431877</v>
      </c>
      <c r="BK63" s="215">
        <f>BK13/BK56</f>
        <v>2062.81742190937</v>
      </c>
      <c r="BL63" s="187">
        <f>(BL13+BJ13+BI13+BH13)/BL56</f>
        <v>1979.26733500418</v>
      </c>
      <c r="BM63" s="187">
        <f>(BM13+BL13+BJ13+BI13)/BM56</f>
        <v>1994.85421785422</v>
      </c>
      <c r="BN63" s="187">
        <f>(BN13+BM13+BL13+BJ13)/BN56</f>
        <v>2066.11934156379</v>
      </c>
      <c r="BO63" s="187">
        <f>(BO13+BN13+BM13+BL13)/BO56</f>
        <v>2222.46224832215</v>
      </c>
      <c r="BP63" s="215">
        <f>BP13/BP56</f>
        <v>2195.75217571488</v>
      </c>
      <c r="BQ63" s="187">
        <f>(BQ13+BO13+BN13+BM13)/BQ56</f>
        <v>2250.73147023086</v>
      </c>
      <c r="BR63" s="187">
        <f>(BR13+BQ13+BO13+BN13)/BR56</f>
        <v>2264.32093023256</v>
      </c>
      <c r="BS63" s="187">
        <f>(BS13+BR13+BQ13+BO13)/BS56</f>
        <v>2295.51750094091</v>
      </c>
      <c r="BT63" s="187">
        <f>(BT13+BS13+BR13+BQ13)/BT56</f>
        <v>2365.69712230216</v>
      </c>
      <c r="BU63" s="215">
        <f>BU13/BU56</f>
        <v>2453.96940298507</v>
      </c>
      <c r="BV63" s="187">
        <f>(BV13+BT13+BS13+BR13)/BV56</f>
        <v>2365.81881051176</v>
      </c>
      <c r="BW63" s="187">
        <f>(BW13+BV13+BT13+BS13)/BW56</f>
        <v>2396.80455153949</v>
      </c>
      <c r="BX63" s="187">
        <f>(BX13+BW13+BV13+BT13)/BX56</f>
        <v>2398.76583493282</v>
      </c>
      <c r="BY63" s="187">
        <f>(BY13+BX13+BW13+BV13)/BY56</f>
        <v>2423.4269183922</v>
      </c>
      <c r="BZ63" s="215">
        <f>BZ13/BZ56</f>
        <v>2537.79783163265</v>
      </c>
      <c r="CA63" s="187">
        <f>(CA13+BY13+BX13+BW13)/CA56</f>
        <v>2282.86714116251</v>
      </c>
      <c r="CB63" s="187">
        <f>(CB13+CA13+BY13+BX13)/CB56</f>
        <v>2243.25949550594</v>
      </c>
      <c r="CC63" s="187">
        <f>(CC13+CB13+CA13+BY13)/CC56</f>
        <v>2283.21290322581</v>
      </c>
      <c r="CD63" s="187">
        <f>(CD13+CC13+CB13+CA13)/CD56</f>
        <v>2401.46153846154</v>
      </c>
      <c r="CE63" s="215">
        <f>CE13/CE56</f>
        <v>2474.70358397751</v>
      </c>
      <c r="CF63" s="187">
        <f>(CF13+CD13+CC13+CB13)/CF56</f>
        <v>2675.48010752688</v>
      </c>
      <c r="CG63" s="187">
        <f>(CG13+CF13+CD13+CC13)/CG56</f>
        <v>2932.87602867003</v>
      </c>
      <c r="CH63" s="187">
        <f>(CH13+CG13+CF13+CD13)/CH56</f>
        <v>2998.24264141285</v>
      </c>
      <c r="CI63" s="187">
        <f>(CI13+CH13+CG13+CF13)/CI56</f>
        <v>3032.04119214926</v>
      </c>
      <c r="CJ63" s="215">
        <f>CJ13/CJ56</f>
        <v>3170.3151760831</v>
      </c>
      <c r="CK63" s="187">
        <f>(CK13+CI13+CH13+CG13)/CK56</f>
        <v>3104.48785046729</v>
      </c>
      <c r="CL63" s="187">
        <f>(CL13+CK13+CI13+CH13)/CL56</f>
        <v>3200.23294810786</v>
      </c>
      <c r="CM63" s="187">
        <f>(CM13+CL13+CK13+CI13)/CM56</f>
        <v>3213.33132530121</v>
      </c>
      <c r="CN63" s="187">
        <f>(CN13+CM13+CL13+CK13)/CN56</f>
        <v>3267.07673716012</v>
      </c>
      <c r="CO63" s="215">
        <f>CO13/CO56</f>
        <v>3459.38067818298</v>
      </c>
      <c r="CP63" s="187">
        <f>(CP13+CN13+CM13+CL13)/CP56</f>
        <v>3264.00883426157</v>
      </c>
      <c r="CQ63" s="187">
        <f>(CQ13+CP13+CN13+CM13)/CQ56</f>
        <v>3320.94082284426</v>
      </c>
      <c r="CR63" s="187">
        <f>(CR13+CQ13+CP13+CN13)/CR56</f>
        <v>3347.67237609329</v>
      </c>
      <c r="CS63" s="187">
        <f>(CS13+CR13+CQ13+CP13)/CS56</f>
        <v>3337.7092297016</v>
      </c>
      <c r="CT63" s="215">
        <f>CT13/CT56</f>
        <v>3470.4710020745</v>
      </c>
      <c r="CU63" s="187">
        <f>(CU13+CS13+CR13+CQ13)/CU56</f>
        <v>3300.54643157011</v>
      </c>
      <c r="CV63" s="187">
        <f>(CV13+CU13+CS13+CR13)/CV56</f>
        <v>3295.16411017648</v>
      </c>
      <c r="CW63" s="187">
        <f>(CW13+CV13+CU13+CS13)/CW56</f>
        <v>3229.22042499207</v>
      </c>
      <c r="CX63" s="187">
        <f>(CX13+CW13+CV13+CU13)/CX56</f>
        <v>3207.06527336059</v>
      </c>
      <c r="CY63" s="215">
        <f>CY13/CY56</f>
        <v>3343.79472603821</v>
      </c>
      <c r="CZ63" s="187">
        <f>(CZ13+CX13+CW13+CV13)/CZ56</f>
        <v>3167.78989244143</v>
      </c>
      <c r="DA63" s="187">
        <f>(DA13+CZ13+CX13+CW13)/DA56</f>
        <v>3148.72538261623</v>
      </c>
      <c r="DB63" s="187">
        <f>(DB13+DA13+CZ13+CX13)/DB56</f>
        <v>3101.32922559866</v>
      </c>
      <c r="DC63" s="187">
        <f>(DC13+DB13+DA13+CZ13)/DC56</f>
        <v>3014.55335324464</v>
      </c>
      <c r="DD63" s="215">
        <f>DD13/DD56</f>
        <v>3107.36076126504</v>
      </c>
      <c r="DE63" s="187">
        <f>(DE13+DC13+DB13+DA13)/DE56</f>
        <v>2978.08160552897</v>
      </c>
      <c r="DF63" s="187">
        <f>(DF13+DE13+DC13+DB13)/DF56</f>
        <v>2893.57198748044</v>
      </c>
      <c r="DG63" s="187">
        <f>(DG13+DF13+DE13+DC13)/DG56</f>
        <v>2752.99362945642</v>
      </c>
      <c r="DH63" s="187">
        <f>(DH13+DG13+DF13+DE13)/DH56</f>
        <v>2587.39588195327</v>
      </c>
      <c r="DI63" s="215">
        <f>DI13/DI56</f>
        <v>2656.75888782916</v>
      </c>
      <c r="DJ63" s="187">
        <f>(DJ13+DH13+DG13+DF13)/DJ56</f>
        <v>2519.51464636836</v>
      </c>
      <c r="DK63" s="187">
        <f>(DK13+DJ13+DH13+DG13)/DK56</f>
        <v>2458.26197522168</v>
      </c>
      <c r="DL63" s="187">
        <f>(DL13+DK13+DJ13+DH13)/DL56</f>
        <v>2392.77797217196</v>
      </c>
      <c r="DM63" s="187">
        <f>(DM13+DL13+DK13+DJ13)/DM56</f>
        <v>2321.1733082011</v>
      </c>
      <c r="DN63" s="215">
        <f>DN13/DN56</f>
        <v>2381.72867773322</v>
      </c>
      <c r="DO63" s="187">
        <f>(DO13+DM13+DL13+DK13)/DO56</f>
        <v>2290.58533394669</v>
      </c>
      <c r="DP63" s="187">
        <f>(DP13+DO13+DM13+DL13)/DP56</f>
        <v>2259.9033032359</v>
      </c>
      <c r="DQ63" s="187">
        <f>(DQ13+DP13+DO13+DM13)/DQ56</f>
        <v>2210.56313625601</v>
      </c>
      <c r="DR63" s="187">
        <f>(DR13+DQ13+DP13+DO13)/DR56</f>
        <v>2158.49743962163</v>
      </c>
      <c r="DS63" s="215">
        <f>DS13/DS56</f>
        <v>2213.96035418449</v>
      </c>
    </row>
    <row r="64" spans="2:123">
      <c r="B64" s="144" t="s">
        <v>307</v>
      </c>
      <c r="C64" s="119"/>
      <c r="D64" s="120"/>
      <c r="E64" s="120"/>
      <c r="F64" s="120"/>
      <c r="G64" s="120"/>
      <c r="H64" s="119"/>
      <c r="I64" s="120"/>
      <c r="J64" s="120"/>
      <c r="K64" s="120"/>
      <c r="L64" s="120"/>
      <c r="M64" s="119"/>
      <c r="N64" s="120"/>
      <c r="O64" s="120"/>
      <c r="P64" s="120"/>
      <c r="Q64" s="761" t="s">
        <v>208</v>
      </c>
      <c r="R64" s="119" t="s">
        <v>208</v>
      </c>
      <c r="S64" s="120" t="s">
        <v>208</v>
      </c>
      <c r="T64" s="120" t="s">
        <v>208</v>
      </c>
      <c r="U64" s="120" t="s">
        <v>208</v>
      </c>
      <c r="V64" s="120" t="s">
        <v>208</v>
      </c>
      <c r="W64" s="119" t="s">
        <v>208</v>
      </c>
      <c r="X64" s="196">
        <f>X63/S63-1</f>
        <v>-0.176946108418619</v>
      </c>
      <c r="Y64" s="196">
        <f t="shared" ref="Y64" si="759">Y63/T63-1</f>
        <v>-0.130580996708867</v>
      </c>
      <c r="Z64" s="196">
        <f t="shared" ref="Z64" si="760">Z63/U63-1</f>
        <v>0.00667770319951089</v>
      </c>
      <c r="AA64" s="196">
        <f t="shared" ref="AA64" si="761">AA63/V63-1</f>
        <v>0.169616581180975</v>
      </c>
      <c r="AB64" s="67">
        <f t="shared" ref="AB64:AC64" si="762">AB63/W63-1</f>
        <v>0.0902434587916452</v>
      </c>
      <c r="AC64" s="196">
        <f t="shared" si="762"/>
        <v>0.216375432549088</v>
      </c>
      <c r="AD64" s="196">
        <f t="shared" ref="AD64" si="763">AD63/Y63-1</f>
        <v>0.24270359175783</v>
      </c>
      <c r="AE64" s="196">
        <f t="shared" ref="AE64" si="764">AE63/Z63-1</f>
        <v>0.239302096944559</v>
      </c>
      <c r="AF64" s="196">
        <f t="shared" ref="AF64" si="765">AF63/AA63-1</f>
        <v>0.274232687891664</v>
      </c>
      <c r="AG64" s="67">
        <f t="shared" ref="AG64:AH64" si="766">AG63/AB63-1</f>
        <v>0.278130308205266</v>
      </c>
      <c r="AH64" s="196">
        <f t="shared" si="766"/>
        <v>0.258368683428049</v>
      </c>
      <c r="AI64" s="196">
        <f t="shared" ref="AI64" si="767">AI63/AD63-1</f>
        <v>0.224115877235397</v>
      </c>
      <c r="AJ64" s="196">
        <f t="shared" ref="AJ64" si="768">AJ63/AE63-1</f>
        <v>0.124415084599855</v>
      </c>
      <c r="AK64" s="196">
        <f t="shared" ref="AK64" si="769">AK63/AF63-1</f>
        <v>0.0765746306812336</v>
      </c>
      <c r="AL64" s="67">
        <f t="shared" ref="AL64:AM64" si="770">AL63/AG63-1</f>
        <v>0.125165160375821</v>
      </c>
      <c r="AM64" s="196">
        <f t="shared" si="770"/>
        <v>0.0972918846916664</v>
      </c>
      <c r="AN64" s="196">
        <f t="shared" ref="AN64" si="771">AN63/AI63-1</f>
        <v>0.0936541754829063</v>
      </c>
      <c r="AO64" s="196">
        <f t="shared" ref="AO64" si="772">AO63/AJ63-1</f>
        <v>0.145448913910892</v>
      </c>
      <c r="AP64" s="196">
        <f t="shared" ref="AP64" si="773">AP63/AK63-1</f>
        <v>0.12336372421836</v>
      </c>
      <c r="AQ64" s="67">
        <f t="shared" ref="AQ64:AR64" si="774">AQ63/AL63-1</f>
        <v>0.0887379689251164</v>
      </c>
      <c r="AR64" s="196">
        <f t="shared" si="774"/>
        <v>0.0604746383381285</v>
      </c>
      <c r="AS64" s="196">
        <f t="shared" ref="AS64" si="775">AS63/AN63-1</f>
        <v>0.0414638017648845</v>
      </c>
      <c r="AT64" s="196">
        <f t="shared" ref="AT64" si="776">AT63/AO63-1</f>
        <v>0.00269132398821381</v>
      </c>
      <c r="AU64" s="196">
        <f t="shared" ref="AU64" si="777">AU63/AP63-1</f>
        <v>-0.0642574265280988</v>
      </c>
      <c r="AV64" s="67">
        <f t="shared" ref="AV64:AW64" si="778">AV63/AQ63-1</f>
        <v>-0.0584734466584221</v>
      </c>
      <c r="AW64" s="196">
        <f t="shared" si="778"/>
        <v>-0.0688559713100515</v>
      </c>
      <c r="AX64" s="196">
        <f t="shared" ref="AX64" si="779">AX63/AS63-1</f>
        <v>-0.0723155291083172</v>
      </c>
      <c r="AY64" s="196">
        <f t="shared" ref="AY64" si="780">AY63/AT63-1</f>
        <v>-0.0745459144515603</v>
      </c>
      <c r="AZ64" s="196">
        <f t="shared" ref="AZ64" si="781">AZ63/AU63-1</f>
        <v>-0.0513956001503166</v>
      </c>
      <c r="BA64" s="67">
        <f t="shared" ref="BA64:BB64" si="782">BA63/AV63-1</f>
        <v>-0.0588265667964</v>
      </c>
      <c r="BB64" s="196">
        <f t="shared" si="782"/>
        <v>-0.0686219814159263</v>
      </c>
      <c r="BC64" s="196">
        <f t="shared" ref="BC64" si="783">BC63/AX63-1</f>
        <v>-0.0832040564336483</v>
      </c>
      <c r="BD64" s="196">
        <f t="shared" ref="BD64" si="784">BD63/AY63-1</f>
        <v>-0.0764233237800697</v>
      </c>
      <c r="BE64" s="196">
        <f t="shared" ref="BE64" si="785">BE63/AZ63-1</f>
        <v>-0.0553654510005457</v>
      </c>
      <c r="BF64" s="67">
        <f t="shared" ref="BF64:BG64" si="786">BF63/BA63-1</f>
        <v>-0.0632400566391204</v>
      </c>
      <c r="BG64" s="196">
        <f t="shared" si="786"/>
        <v>-0.0246568847914758</v>
      </c>
      <c r="BH64" s="196">
        <f t="shared" ref="BH64" si="787">BH63/BC63-1</f>
        <v>0.00105035339928117</v>
      </c>
      <c r="BI64" s="196">
        <f t="shared" ref="BI64" si="788">BI63/BD63-1</f>
        <v>0.0307615640169094</v>
      </c>
      <c r="BJ64" s="196">
        <f t="shared" ref="BJ64" si="789">BJ63/BE63-1</f>
        <v>0.0271087950145765</v>
      </c>
      <c r="BK64" s="67">
        <f t="shared" ref="BK64:BL64" si="790">BK63/BF63-1</f>
        <v>0.00686991704792894</v>
      </c>
      <c r="BL64" s="196">
        <f t="shared" si="790"/>
        <v>0.00518243832202359</v>
      </c>
      <c r="BM64" s="196">
        <f t="shared" ref="BM64" si="791">BM63/BH63-1</f>
        <v>0.00560790196319716</v>
      </c>
      <c r="BN64" s="196">
        <f t="shared" ref="BN64" si="792">BN63/BI63-1</f>
        <v>0.0340988005806191</v>
      </c>
      <c r="BO64" s="196">
        <f t="shared" ref="BO64" si="793">BO63/BJ63-1</f>
        <v>0.106305363519388</v>
      </c>
      <c r="BP64" s="67">
        <f t="shared" ref="BP64:BQ64" si="794">BP63/BK63-1</f>
        <v>0.0644432960443295</v>
      </c>
      <c r="BQ64" s="196">
        <f t="shared" si="794"/>
        <v>0.137153850026082</v>
      </c>
      <c r="BR64" s="196">
        <f t="shared" ref="BR64" si="795">BR63/BM63-1</f>
        <v>0.135080904642844</v>
      </c>
      <c r="BS64" s="196">
        <f t="shared" ref="BS64" si="796">BS63/BN63-1</f>
        <v>0.111028513582134</v>
      </c>
      <c r="BT64" s="196">
        <f t="shared" ref="BT64" si="797">BT63/BO63-1</f>
        <v>0.0644487320709926</v>
      </c>
      <c r="BU64" s="67">
        <f t="shared" ref="BU64:BV64" si="798">BU63/BP63-1</f>
        <v>0.117598529618275</v>
      </c>
      <c r="BV64" s="196">
        <f t="shared" si="798"/>
        <v>0.0511333056844356</v>
      </c>
      <c r="BW64" s="196">
        <f t="shared" ref="BW64" si="799">BW63/BR63-1</f>
        <v>0.0585092066844635</v>
      </c>
      <c r="BX64" s="196">
        <f t="shared" ref="BX64" si="800">BX63/BS63-1</f>
        <v>0.0449782386540682</v>
      </c>
      <c r="BY64" s="196">
        <f t="shared" ref="BY64" si="801">BY63/BT63-1</f>
        <v>0.0244028686283677</v>
      </c>
      <c r="BZ64" s="67">
        <f t="shared" ref="BZ64:CA64" si="802">BZ63/BU63-1</f>
        <v>0.034160339792993</v>
      </c>
      <c r="CA64" s="196">
        <f t="shared" si="802"/>
        <v>-0.0350625622641401</v>
      </c>
      <c r="CB64" s="196">
        <f t="shared" ref="CB64" si="803">CB63/BW63-1</f>
        <v>-0.0640624017235467</v>
      </c>
      <c r="CC64" s="196">
        <f t="shared" ref="CC64" si="804">CC63/BX63-1</f>
        <v>-0.0481718265385629</v>
      </c>
      <c r="CD64" s="196">
        <f t="shared" ref="CD64" si="805">CD63/BY63-1</f>
        <v>-0.00906376823825961</v>
      </c>
      <c r="CE64" s="67">
        <f t="shared" ref="CE64:CF64" si="806">CE63/BZ63-1</f>
        <v>-0.0248618100577973</v>
      </c>
      <c r="CF64" s="196">
        <f t="shared" si="806"/>
        <v>0.171982398487034</v>
      </c>
      <c r="CG64" s="196">
        <f t="shared" ref="CG64" si="807">CG63/CB63-1</f>
        <v>0.307417191165639</v>
      </c>
      <c r="CH64" s="196">
        <f t="shared" ref="CH64" si="808">CH63/CC63-1</f>
        <v>0.313168227622059</v>
      </c>
      <c r="CI64" s="196">
        <f t="shared" ref="CI64" si="809">CI63/CD63-1</f>
        <v>0.262581616898056</v>
      </c>
      <c r="CJ64" s="67">
        <f t="shared" ref="CJ64:CK64" si="810">CJ63/CE63-1</f>
        <v>0.281088853068841</v>
      </c>
      <c r="CK64" s="196">
        <f t="shared" si="810"/>
        <v>0.160347947171608</v>
      </c>
      <c r="CL64" s="196">
        <f t="shared" ref="CL64" si="811">CL63/CG63-1</f>
        <v>0.0911586159197708</v>
      </c>
      <c r="CM64" s="196">
        <f t="shared" ref="CM64" si="812">CM63/CH63-1</f>
        <v>0.0717382512400673</v>
      </c>
      <c r="CN64" s="196">
        <f t="shared" ref="CN64" si="813">CN63/CI63-1</f>
        <v>0.0775172664604384</v>
      </c>
      <c r="CO64" s="67">
        <f t="shared" ref="CO64:CP64" si="814">CO63/CJ63-1</f>
        <v>0.091178790134367</v>
      </c>
      <c r="CP64" s="196">
        <f t="shared" si="814"/>
        <v>0.051383993585373</v>
      </c>
      <c r="CQ64" s="196">
        <f t="shared" ref="CQ64" si="815">CQ63/CL63-1</f>
        <v>0.0377184650910385</v>
      </c>
      <c r="CR64" s="196">
        <f t="shared" ref="CR64" si="816">CR63/CM63-1</f>
        <v>0.0418074070776056</v>
      </c>
      <c r="CS64" s="196">
        <f t="shared" ref="CS64" si="817">CS63/CN63-1</f>
        <v>0.0216194776627352</v>
      </c>
      <c r="CT64" s="67">
        <f t="shared" ref="CT64:CU64" si="818">CT63/CO63-1</f>
        <v>0.00320586975624337</v>
      </c>
      <c r="CU64" s="196">
        <f t="shared" si="818"/>
        <v>0.0111940865248317</v>
      </c>
      <c r="CV64" s="196">
        <f t="shared" ref="CV64" si="819">CV63/CQ63-1</f>
        <v>-0.00776187051888011</v>
      </c>
      <c r="CW64" s="196">
        <f t="shared" ref="CW64" si="820">CW63/CR63-1</f>
        <v>-0.0353833762070397</v>
      </c>
      <c r="CX64" s="196">
        <f t="shared" ref="CX64" si="821">CX63/CS63-1</f>
        <v>-0.0391418027605366</v>
      </c>
      <c r="CY64" s="67">
        <f t="shared" ref="CY64:CZ64" si="822">CY63/CT63-1</f>
        <v>-0.0365011769182242</v>
      </c>
      <c r="CZ64" s="196">
        <f t="shared" si="822"/>
        <v>-0.0402225940101451</v>
      </c>
      <c r="DA64" s="196">
        <f t="shared" ref="DA64" si="823">DA63/CV63-1</f>
        <v>-0.0444404960311396</v>
      </c>
      <c r="DB64" s="196">
        <f t="shared" ref="DB64" si="824">DB63/CW63-1</f>
        <v>-0.039604357263326</v>
      </c>
      <c r="DC64" s="196">
        <f t="shared" ref="DC64" si="825">DC63/CX63-1</f>
        <v>-0.0600274405747372</v>
      </c>
      <c r="DD64" s="67">
        <f t="shared" ref="DD64:DE64" si="826">DD63/CY63-1</f>
        <v>-0.0707082773150075</v>
      </c>
      <c r="DE64" s="196">
        <f t="shared" si="826"/>
        <v>-0.0598866381148304</v>
      </c>
      <c r="DF64" s="196">
        <f t="shared" ref="DF64" si="827">DF63/DA63-1</f>
        <v>-0.0810338674005883</v>
      </c>
      <c r="DG64" s="196">
        <f t="shared" ref="DG64" si="828">DG63/DB63-1</f>
        <v>-0.112318161279701</v>
      </c>
      <c r="DH64" s="196">
        <f t="shared" ref="DH64" si="829">DH63/DC63-1</f>
        <v>-0.141698428004801</v>
      </c>
      <c r="DI64" s="67">
        <f t="shared" ref="DI64:DJ64" si="830">DI63/DD63-1</f>
        <v>-0.145011122960964</v>
      </c>
      <c r="DJ64" s="196">
        <f t="shared" si="830"/>
        <v>-0.153980655973047</v>
      </c>
      <c r="DK64" s="196">
        <f t="shared" ref="DK64" si="831">DK63/DF63-1</f>
        <v>-0.150440360268279</v>
      </c>
      <c r="DL64" s="196">
        <f t="shared" ref="DL64" si="832">DL63/DG63-1</f>
        <v>-0.130845074768873</v>
      </c>
      <c r="DM64" s="196">
        <f t="shared" ref="DM64" si="833">DM63/DH63-1</f>
        <v>-0.102892091468893</v>
      </c>
      <c r="DN64" s="67">
        <f t="shared" ref="DN64:DO64" si="834">DN63/DI63-1</f>
        <v>-0.103520952298636</v>
      </c>
      <c r="DO64" s="196">
        <f t="shared" si="834"/>
        <v>-0.0908624654163658</v>
      </c>
      <c r="DP64" s="196">
        <f t="shared" ref="DP64" si="835">DP63/DK63-1</f>
        <v>-0.0806906155589446</v>
      </c>
      <c r="DQ64" s="196">
        <f t="shared" ref="DQ64" si="836">DQ63/DL63-1</f>
        <v>-0.0761520032510786</v>
      </c>
      <c r="DR64" s="196">
        <f t="shared" ref="DR64" si="837">DR63/DM63-1</f>
        <v>-0.070083465118571</v>
      </c>
      <c r="DS64" s="67">
        <f t="shared" ref="DS64" si="838">DS63/DN63-1</f>
        <v>-0.0704397293936957</v>
      </c>
    </row>
    <row r="65" spans="2:123">
      <c r="B65" s="33"/>
      <c r="C65" s="119"/>
      <c r="D65" s="120"/>
      <c r="E65" s="120"/>
      <c r="F65" s="120"/>
      <c r="G65" s="120"/>
      <c r="H65" s="119"/>
      <c r="I65" s="120"/>
      <c r="J65" s="120"/>
      <c r="K65" s="120"/>
      <c r="L65" s="120"/>
      <c r="M65" s="119"/>
      <c r="N65" s="120"/>
      <c r="O65" s="120"/>
      <c r="P65" s="120"/>
      <c r="Q65" s="120"/>
      <c r="R65" s="119"/>
      <c r="S65" s="120"/>
      <c r="T65" s="120"/>
      <c r="U65" s="120"/>
      <c r="V65" s="120"/>
      <c r="W65" s="119"/>
      <c r="X65" s="120"/>
      <c r="Y65" s="120"/>
      <c r="Z65" s="120"/>
      <c r="AA65" s="120"/>
      <c r="AB65" s="119"/>
      <c r="AC65" s="120"/>
      <c r="AD65" s="120"/>
      <c r="AE65" s="120"/>
      <c r="AF65" s="120"/>
      <c r="AG65" s="119"/>
      <c r="AH65" s="120"/>
      <c r="AI65" s="120"/>
      <c r="AJ65" s="120"/>
      <c r="AK65" s="120"/>
      <c r="AL65" s="119"/>
      <c r="AM65" s="120"/>
      <c r="AN65" s="120"/>
      <c r="AO65" s="120"/>
      <c r="AP65" s="120"/>
      <c r="AQ65" s="119"/>
      <c r="AR65" s="120"/>
      <c r="AS65" s="120"/>
      <c r="AT65" s="120"/>
      <c r="AU65" s="120"/>
      <c r="AV65" s="119"/>
      <c r="AW65" s="120"/>
      <c r="AX65" s="120"/>
      <c r="AY65" s="120"/>
      <c r="AZ65" s="120"/>
      <c r="BA65" s="119"/>
      <c r="BB65" s="120"/>
      <c r="BC65" s="120"/>
      <c r="BD65" s="120"/>
      <c r="BE65" s="120"/>
      <c r="BF65" s="119"/>
      <c r="BG65" s="120"/>
      <c r="BH65" s="120"/>
      <c r="BI65" s="120"/>
      <c r="BJ65" s="120"/>
      <c r="BK65" s="119"/>
      <c r="BL65" s="120"/>
      <c r="BM65" s="120"/>
      <c r="BN65" s="120"/>
      <c r="BO65" s="120"/>
      <c r="BP65" s="119"/>
      <c r="BQ65" s="120"/>
      <c r="BR65" s="120"/>
      <c r="BS65" s="120"/>
      <c r="BT65" s="120"/>
      <c r="BU65" s="119"/>
      <c r="BV65" s="120"/>
      <c r="BW65" s="120"/>
      <c r="BX65" s="120"/>
      <c r="BY65" s="120"/>
      <c r="BZ65" s="119"/>
      <c r="CA65" s="120"/>
      <c r="CB65" s="120"/>
      <c r="CC65" s="120"/>
      <c r="CD65" s="120"/>
      <c r="CE65" s="119"/>
      <c r="CF65" s="120"/>
      <c r="CG65" s="120"/>
      <c r="CH65" s="120"/>
      <c r="CI65" s="120"/>
      <c r="CJ65" s="119"/>
      <c r="CK65" s="120"/>
      <c r="CL65" s="120"/>
      <c r="CM65" s="120"/>
      <c r="CN65" s="120"/>
      <c r="CO65" s="119"/>
      <c r="CP65" s="120"/>
      <c r="CQ65" s="120"/>
      <c r="CR65" s="120"/>
      <c r="CS65" s="120"/>
      <c r="CT65" s="119"/>
      <c r="CU65" s="120"/>
      <c r="CV65" s="120"/>
      <c r="CW65" s="120"/>
      <c r="CX65" s="120"/>
      <c r="CY65" s="119"/>
      <c r="CZ65" s="120"/>
      <c r="DA65" s="120"/>
      <c r="DB65" s="120"/>
      <c r="DC65" s="120"/>
      <c r="DD65" s="119"/>
      <c r="DE65" s="120"/>
      <c r="DF65" s="120"/>
      <c r="DG65" s="120"/>
      <c r="DH65" s="120"/>
      <c r="DI65" s="119"/>
      <c r="DJ65" s="120"/>
      <c r="DK65" s="120"/>
      <c r="DL65" s="120"/>
      <c r="DM65" s="120"/>
      <c r="DN65" s="119"/>
      <c r="DO65" s="120"/>
      <c r="DP65" s="120"/>
      <c r="DQ65" s="120"/>
      <c r="DR65" s="120"/>
      <c r="DS65" s="119"/>
    </row>
    <row r="66" spans="2:123">
      <c r="B66" s="33" t="s">
        <v>313</v>
      </c>
      <c r="C66" s="124"/>
      <c r="D66" s="125"/>
      <c r="E66" s="125"/>
      <c r="F66" s="125"/>
      <c r="G66" s="125"/>
      <c r="H66" s="124"/>
      <c r="I66" s="125"/>
      <c r="J66" s="125"/>
      <c r="K66" s="125"/>
      <c r="L66" s="125"/>
      <c r="M66" s="124"/>
      <c r="N66" s="125"/>
      <c r="O66" s="125"/>
      <c r="P66" s="125"/>
      <c r="Q66" s="125"/>
      <c r="R66" s="124"/>
      <c r="S66" s="125"/>
      <c r="T66" s="125"/>
      <c r="U66" s="125"/>
      <c r="V66" s="125"/>
      <c r="W66" s="124"/>
      <c r="X66" s="125"/>
      <c r="Y66" s="125"/>
      <c r="Z66" s="125"/>
      <c r="AA66" s="125"/>
      <c r="AB66" s="124"/>
      <c r="AC66" s="125"/>
      <c r="AD66" s="125"/>
      <c r="AE66" s="125"/>
      <c r="AF66" s="125"/>
      <c r="AG66" s="124"/>
      <c r="AH66" s="125"/>
      <c r="AI66" s="125"/>
      <c r="AJ66" s="125"/>
      <c r="AK66" s="125"/>
      <c r="AL66" s="124"/>
      <c r="AM66" s="125"/>
      <c r="AN66" s="125"/>
      <c r="AO66" s="125"/>
      <c r="AP66" s="125"/>
      <c r="AQ66" s="124"/>
      <c r="AR66" s="125"/>
      <c r="AS66" s="125"/>
      <c r="AT66" s="125"/>
      <c r="AU66" s="125"/>
      <c r="AV66" s="124"/>
      <c r="AW66" s="125"/>
      <c r="AX66" s="125"/>
      <c r="AY66" s="125"/>
      <c r="AZ66" s="125"/>
      <c r="BA66" s="124"/>
      <c r="BB66" s="125"/>
      <c r="BC66" s="125"/>
      <c r="BD66" s="125"/>
      <c r="BE66" s="125"/>
      <c r="BF66" s="124"/>
      <c r="BG66" s="125"/>
      <c r="BH66" s="125"/>
      <c r="BI66" s="125"/>
      <c r="BJ66" s="125"/>
      <c r="BK66" s="124"/>
      <c r="BL66" s="125"/>
      <c r="BM66" s="125"/>
      <c r="BN66" s="125"/>
      <c r="BO66" s="125"/>
      <c r="BP66" s="124">
        <v>1554</v>
      </c>
      <c r="BQ66" s="125"/>
      <c r="BR66" s="125"/>
      <c r="BS66" s="125"/>
      <c r="BT66" s="125"/>
      <c r="BU66" s="124">
        <v>1579</v>
      </c>
      <c r="BV66" s="125"/>
      <c r="BW66" s="125"/>
      <c r="BX66" s="125"/>
      <c r="BY66" s="125"/>
      <c r="BZ66" s="124">
        <v>1657</v>
      </c>
      <c r="CA66" s="120"/>
      <c r="CB66" s="120"/>
      <c r="CC66" s="120"/>
      <c r="CD66" s="120"/>
      <c r="CE66" s="119" t="s">
        <v>314</v>
      </c>
      <c r="CF66" s="120"/>
      <c r="CG66" s="120"/>
      <c r="CH66" s="120"/>
      <c r="CI66" s="120"/>
      <c r="CJ66" s="119">
        <v>1443</v>
      </c>
      <c r="CK66" s="120"/>
      <c r="CL66" s="120"/>
      <c r="CM66" s="120"/>
      <c r="CN66" s="120"/>
      <c r="CO66" s="119">
        <v>1580</v>
      </c>
      <c r="CP66" s="120"/>
      <c r="CQ66" s="120"/>
      <c r="CR66" s="120"/>
      <c r="CS66" s="120"/>
      <c r="CT66" s="216">
        <v>1609</v>
      </c>
      <c r="CU66" s="217"/>
      <c r="CV66" s="217"/>
      <c r="CW66" s="217"/>
      <c r="CX66" s="217"/>
      <c r="CY66" s="218">
        <v>1574</v>
      </c>
      <c r="CZ66" s="217"/>
      <c r="DA66" s="217"/>
      <c r="DB66" s="217"/>
      <c r="DC66" s="217"/>
      <c r="DD66" s="218">
        <v>1426</v>
      </c>
      <c r="DE66" s="120"/>
      <c r="DF66" s="120"/>
      <c r="DG66" s="120"/>
      <c r="DH66" s="120"/>
      <c r="DI66" s="119"/>
      <c r="DJ66" s="120"/>
      <c r="DK66" s="120"/>
      <c r="DL66" s="120"/>
      <c r="DM66" s="120"/>
      <c r="DN66" s="119"/>
      <c r="DO66" s="120"/>
      <c r="DP66" s="120"/>
      <c r="DQ66" s="120"/>
      <c r="DR66" s="120"/>
      <c r="DS66" s="119"/>
    </row>
    <row r="67" spans="2:123">
      <c r="B67" s="33"/>
      <c r="C67" s="119"/>
      <c r="D67" s="120"/>
      <c r="E67" s="120"/>
      <c r="F67" s="120"/>
      <c r="G67" s="120"/>
      <c r="H67" s="119"/>
      <c r="I67" s="120"/>
      <c r="J67" s="120"/>
      <c r="K67" s="120"/>
      <c r="L67" s="120"/>
      <c r="M67" s="119"/>
      <c r="N67" s="120"/>
      <c r="O67" s="120"/>
      <c r="P67" s="120"/>
      <c r="Q67" s="120"/>
      <c r="R67" s="119"/>
      <c r="S67" s="120"/>
      <c r="T67" s="120"/>
      <c r="U67" s="120"/>
      <c r="V67" s="120"/>
      <c r="W67" s="119"/>
      <c r="X67" s="120"/>
      <c r="Y67" s="120"/>
      <c r="Z67" s="120"/>
      <c r="AA67" s="120"/>
      <c r="AB67" s="119"/>
      <c r="AC67" s="120"/>
      <c r="AD67" s="120"/>
      <c r="AE67" s="120"/>
      <c r="AF67" s="120"/>
      <c r="AG67" s="119"/>
      <c r="AH67" s="120"/>
      <c r="AI67" s="120"/>
      <c r="AJ67" s="120"/>
      <c r="AK67" s="120"/>
      <c r="AL67" s="119"/>
      <c r="AM67" s="120"/>
      <c r="AN67" s="120"/>
      <c r="AO67" s="120"/>
      <c r="AP67" s="120"/>
      <c r="AQ67" s="119"/>
      <c r="AR67" s="120"/>
      <c r="AS67" s="120"/>
      <c r="AT67" s="120"/>
      <c r="AU67" s="120"/>
      <c r="AV67" s="119"/>
      <c r="AW67" s="120"/>
      <c r="AX67" s="120"/>
      <c r="AY67" s="120"/>
      <c r="AZ67" s="120"/>
      <c r="BA67" s="119"/>
      <c r="BB67" s="120"/>
      <c r="BC67" s="120"/>
      <c r="BD67" s="120"/>
      <c r="BE67" s="120"/>
      <c r="BF67" s="119"/>
      <c r="BG67" s="120"/>
      <c r="BH67" s="120"/>
      <c r="BI67" s="120"/>
      <c r="BJ67" s="120"/>
      <c r="BK67" s="119"/>
      <c r="BL67" s="120"/>
      <c r="BM67" s="120"/>
      <c r="BN67" s="120"/>
      <c r="BO67" s="120"/>
      <c r="BP67" s="119"/>
      <c r="BQ67" s="120"/>
      <c r="BR67" s="120"/>
      <c r="BS67" s="120"/>
      <c r="BT67" s="120"/>
      <c r="BU67" s="119"/>
      <c r="BV67" s="120"/>
      <c r="BW67" s="120"/>
      <c r="BX67" s="120"/>
      <c r="BY67" s="120"/>
      <c r="BZ67" s="119"/>
      <c r="CA67" s="120"/>
      <c r="CB67" s="120"/>
      <c r="CC67" s="120"/>
      <c r="CD67" s="120"/>
      <c r="CE67" s="119"/>
      <c r="CF67" s="120"/>
      <c r="CG67" s="120"/>
      <c r="CH67" s="120"/>
      <c r="CI67" s="120"/>
      <c r="CJ67" s="119"/>
      <c r="CK67" s="120"/>
      <c r="CL67" s="120"/>
      <c r="CM67" s="120"/>
      <c r="CN67" s="120"/>
      <c r="CO67" s="119"/>
      <c r="CP67" s="120"/>
      <c r="CQ67" s="120"/>
      <c r="CR67" s="120"/>
      <c r="CS67" s="120"/>
      <c r="CT67" s="119"/>
      <c r="CU67" s="120"/>
      <c r="CV67" s="120"/>
      <c r="CW67" s="120"/>
      <c r="CX67" s="120"/>
      <c r="CY67" s="119"/>
      <c r="CZ67" s="120"/>
      <c r="DA67" s="120"/>
      <c r="DB67" s="120"/>
      <c r="DC67" s="120"/>
      <c r="DD67" s="119"/>
      <c r="DE67" s="120"/>
      <c r="DF67" s="120"/>
      <c r="DG67" s="120"/>
      <c r="DH67" s="120"/>
      <c r="DI67" s="119"/>
      <c r="DJ67" s="120"/>
      <c r="DK67" s="120"/>
      <c r="DL67" s="120"/>
      <c r="DM67" s="120"/>
      <c r="DN67" s="119"/>
      <c r="DO67" s="120"/>
      <c r="DP67" s="120"/>
      <c r="DQ67" s="120"/>
      <c r="DR67" s="120"/>
      <c r="DS67" s="119"/>
    </row>
    <row r="68" spans="2:123">
      <c r="B68" s="33" t="s">
        <v>315</v>
      </c>
      <c r="C68" s="124"/>
      <c r="D68" s="125"/>
      <c r="E68" s="125"/>
      <c r="F68" s="125"/>
      <c r="G68" s="125"/>
      <c r="H68" s="124"/>
      <c r="I68" s="125"/>
      <c r="J68" s="125"/>
      <c r="K68" s="125"/>
      <c r="L68" s="125"/>
      <c r="M68" s="124"/>
      <c r="N68" s="125"/>
      <c r="O68" s="125"/>
      <c r="P68" s="125"/>
      <c r="Q68" s="125"/>
      <c r="R68" s="124"/>
      <c r="S68" s="125"/>
      <c r="T68" s="125"/>
      <c r="U68" s="125"/>
      <c r="V68" s="125"/>
      <c r="W68" s="124"/>
      <c r="X68" s="125"/>
      <c r="Y68" s="125"/>
      <c r="Z68" s="125"/>
      <c r="AA68" s="125"/>
      <c r="AB68" s="124"/>
      <c r="AC68" s="125"/>
      <c r="AD68" s="125"/>
      <c r="AE68" s="125"/>
      <c r="AF68" s="125"/>
      <c r="AG68" s="124"/>
      <c r="AH68" s="125"/>
      <c r="AI68" s="125"/>
      <c r="AJ68" s="125"/>
      <c r="AK68" s="125"/>
      <c r="AL68" s="124"/>
      <c r="AM68" s="125"/>
      <c r="AN68" s="125"/>
      <c r="AO68" s="125"/>
      <c r="AP68" s="125"/>
      <c r="AQ68" s="124"/>
      <c r="AR68" s="125"/>
      <c r="AS68" s="125"/>
      <c r="AT68" s="125"/>
      <c r="AU68" s="125"/>
      <c r="AV68" s="124"/>
      <c r="AW68" s="125"/>
      <c r="AX68" s="125"/>
      <c r="AY68" s="125"/>
      <c r="AZ68" s="125"/>
      <c r="BA68" s="124"/>
      <c r="BB68" s="125">
        <v>38.2</v>
      </c>
      <c r="BC68" s="125">
        <v>44.3</v>
      </c>
      <c r="BD68" s="125">
        <v>43.1</v>
      </c>
      <c r="BE68" s="125">
        <f>BF68-SUM(BB68:BD68)</f>
        <v>49.8</v>
      </c>
      <c r="BF68" s="124">
        <v>175.4</v>
      </c>
      <c r="BG68" s="125">
        <v>36.1</v>
      </c>
      <c r="BH68" s="125">
        <v>31.2</v>
      </c>
      <c r="BI68" s="125">
        <v>27</v>
      </c>
      <c r="BJ68" s="125">
        <f>BK68-SUM(BG68:BI68)</f>
        <v>32.4</v>
      </c>
      <c r="BK68" s="124">
        <v>126.7</v>
      </c>
      <c r="BL68" s="125">
        <v>26.6</v>
      </c>
      <c r="BM68" s="125">
        <v>28.9</v>
      </c>
      <c r="BN68" s="125">
        <v>33.7</v>
      </c>
      <c r="BO68" s="125">
        <f>BP68-SUM(BL68:BN68)</f>
        <v>57.3</v>
      </c>
      <c r="BP68" s="124">
        <v>146.5</v>
      </c>
      <c r="BQ68" s="125">
        <v>42.7</v>
      </c>
      <c r="BR68" s="125">
        <v>50.6</v>
      </c>
      <c r="BS68" s="125">
        <f>134.5-BR68-BQ68</f>
        <v>41.2</v>
      </c>
      <c r="BT68" s="125">
        <f>BU68-SUM(BQ68:BS68)</f>
        <v>48.2</v>
      </c>
      <c r="BU68" s="124">
        <v>182.7</v>
      </c>
      <c r="BV68" s="125">
        <v>44.3</v>
      </c>
      <c r="BW68" s="125">
        <v>55.8</v>
      </c>
      <c r="BX68" s="125">
        <v>61.1</v>
      </c>
      <c r="BY68" s="125">
        <f>BZ68-SUM(BV68:BX68)</f>
        <v>77.3</v>
      </c>
      <c r="BZ68" s="124">
        <v>238.5</v>
      </c>
      <c r="CA68" s="760" t="s">
        <v>208</v>
      </c>
      <c r="CB68" s="120"/>
      <c r="CC68" s="120"/>
      <c r="CD68" s="120"/>
      <c r="CE68" s="119" t="s">
        <v>314</v>
      </c>
      <c r="CF68" s="120"/>
      <c r="CG68" s="120"/>
      <c r="CH68" s="120"/>
      <c r="CI68" s="120"/>
      <c r="CJ68" s="119" t="s">
        <v>314</v>
      </c>
      <c r="CK68" s="120"/>
      <c r="CL68" s="120"/>
      <c r="CM68" s="120"/>
      <c r="CN68" s="120"/>
      <c r="CO68" s="119"/>
      <c r="CP68" s="120"/>
      <c r="CQ68" s="120"/>
      <c r="CR68" s="120"/>
      <c r="CS68" s="120"/>
      <c r="CT68" s="119"/>
      <c r="CU68" s="120"/>
      <c r="CV68" s="120"/>
      <c r="CW68" s="120"/>
      <c r="CX68" s="120"/>
      <c r="CY68" s="119"/>
      <c r="CZ68" s="120"/>
      <c r="DA68" s="120"/>
      <c r="DB68" s="120"/>
      <c r="DC68" s="120"/>
      <c r="DD68" s="119"/>
      <c r="DE68" s="120"/>
      <c r="DF68" s="120"/>
      <c r="DG68" s="120"/>
      <c r="DH68" s="120"/>
      <c r="DI68" s="119"/>
      <c r="DJ68" s="120"/>
      <c r="DK68" s="120"/>
      <c r="DL68" s="120"/>
      <c r="DM68" s="120"/>
      <c r="DN68" s="119"/>
      <c r="DO68" s="120"/>
      <c r="DP68" s="120"/>
      <c r="DQ68" s="120"/>
      <c r="DR68" s="120"/>
      <c r="DS68" s="119"/>
    </row>
    <row r="69" spans="2:123">
      <c r="B69" s="33" t="s">
        <v>316</v>
      </c>
      <c r="C69" s="124"/>
      <c r="D69" s="125"/>
      <c r="E69" s="125"/>
      <c r="F69" s="125"/>
      <c r="G69" s="125"/>
      <c r="H69" s="124"/>
      <c r="I69" s="125"/>
      <c r="J69" s="125"/>
      <c r="K69" s="125"/>
      <c r="L69" s="125"/>
      <c r="M69" s="124"/>
      <c r="N69" s="125"/>
      <c r="O69" s="125"/>
      <c r="P69" s="125"/>
      <c r="Q69" s="125"/>
      <c r="R69" s="124"/>
      <c r="S69" s="125"/>
      <c r="T69" s="125"/>
      <c r="U69" s="125"/>
      <c r="V69" s="125"/>
      <c r="W69" s="124"/>
      <c r="X69" s="125"/>
      <c r="Y69" s="125"/>
      <c r="Z69" s="125"/>
      <c r="AA69" s="125"/>
      <c r="AB69" s="124"/>
      <c r="AC69" s="125"/>
      <c r="AD69" s="125"/>
      <c r="AE69" s="125"/>
      <c r="AF69" s="125"/>
      <c r="AG69" s="124"/>
      <c r="AH69" s="125"/>
      <c r="AI69" s="125"/>
      <c r="AJ69" s="125"/>
      <c r="AK69" s="125"/>
      <c r="AL69" s="124"/>
      <c r="AM69" s="125"/>
      <c r="AN69" s="125"/>
      <c r="AO69" s="125"/>
      <c r="AP69" s="125"/>
      <c r="AQ69" s="124"/>
      <c r="AR69" s="125"/>
      <c r="AS69" s="125"/>
      <c r="AT69" s="125"/>
      <c r="AU69" s="125"/>
      <c r="AV69" s="124"/>
      <c r="AW69" s="125"/>
      <c r="AX69" s="125"/>
      <c r="AY69" s="125"/>
      <c r="AZ69" s="125"/>
      <c r="BA69" s="124"/>
      <c r="BB69" s="219">
        <f t="shared" ref="BB69:BZ69" si="839">BB383-BB68</f>
        <v>275.894</v>
      </c>
      <c r="BC69" s="125">
        <f t="shared" si="839"/>
        <v>295.479</v>
      </c>
      <c r="BD69" s="125">
        <f t="shared" si="839"/>
        <v>310.299</v>
      </c>
      <c r="BE69" s="220">
        <f t="shared" si="839"/>
        <v>459.251</v>
      </c>
      <c r="BF69" s="124">
        <f t="shared" si="839"/>
        <v>1340.923</v>
      </c>
      <c r="BG69" s="219">
        <f t="shared" si="839"/>
        <v>322.604</v>
      </c>
      <c r="BH69" s="125">
        <f t="shared" si="839"/>
        <v>350.189</v>
      </c>
      <c r="BI69" s="125">
        <f t="shared" si="839"/>
        <v>366.506</v>
      </c>
      <c r="BJ69" s="220">
        <f t="shared" si="839"/>
        <v>538.358</v>
      </c>
      <c r="BK69" s="124">
        <f t="shared" si="839"/>
        <v>1577.657</v>
      </c>
      <c r="BL69" s="219">
        <f t="shared" si="839"/>
        <v>352.499</v>
      </c>
      <c r="BM69" s="125">
        <f t="shared" si="839"/>
        <v>385.044</v>
      </c>
      <c r="BN69" s="125">
        <f t="shared" si="839"/>
        <v>391.4</v>
      </c>
      <c r="BO69" s="220">
        <f t="shared" si="839"/>
        <v>561.6</v>
      </c>
      <c r="BP69" s="124">
        <f t="shared" si="839"/>
        <v>1690.543</v>
      </c>
      <c r="BQ69" s="125">
        <f t="shared" si="839"/>
        <v>390.42</v>
      </c>
      <c r="BR69" s="125">
        <f t="shared" si="839"/>
        <v>435.8</v>
      </c>
      <c r="BS69" s="125">
        <f t="shared" si="839"/>
        <v>435.677</v>
      </c>
      <c r="BT69" s="220">
        <f t="shared" si="839"/>
        <v>681.766</v>
      </c>
      <c r="BU69" s="124">
        <f t="shared" si="839"/>
        <v>1943.663</v>
      </c>
      <c r="BV69" s="125">
        <f t="shared" si="839"/>
        <v>462.122</v>
      </c>
      <c r="BW69" s="125">
        <f t="shared" si="839"/>
        <v>527.956</v>
      </c>
      <c r="BX69" s="125">
        <f t="shared" si="839"/>
        <v>518.4</v>
      </c>
      <c r="BY69" s="125">
        <f t="shared" si="839"/>
        <v>754.1</v>
      </c>
      <c r="BZ69" s="124">
        <f t="shared" si="839"/>
        <v>2262.578</v>
      </c>
      <c r="CA69" s="125"/>
      <c r="CB69" s="125"/>
      <c r="CC69" s="120"/>
      <c r="CD69" s="120"/>
      <c r="CE69" s="119" t="s">
        <v>314</v>
      </c>
      <c r="CF69" s="120"/>
      <c r="CG69" s="120"/>
      <c r="CH69" s="120"/>
      <c r="CI69" s="120"/>
      <c r="CJ69" s="119" t="s">
        <v>314</v>
      </c>
      <c r="CK69" s="120"/>
      <c r="CL69" s="120"/>
      <c r="CM69" s="120"/>
      <c r="CN69" s="120"/>
      <c r="CO69" s="119"/>
      <c r="CP69" s="120"/>
      <c r="CQ69" s="120"/>
      <c r="CR69" s="120"/>
      <c r="CS69" s="120"/>
      <c r="CT69" s="119"/>
      <c r="CU69" s="120"/>
      <c r="CV69" s="120"/>
      <c r="CW69" s="120"/>
      <c r="CX69" s="120"/>
      <c r="CY69" s="119"/>
      <c r="CZ69" s="120"/>
      <c r="DA69" s="120"/>
      <c r="DB69" s="120"/>
      <c r="DC69" s="120"/>
      <c r="DD69" s="119"/>
      <c r="DE69" s="120"/>
      <c r="DF69" s="120"/>
      <c r="DG69" s="120"/>
      <c r="DH69" s="120"/>
      <c r="DI69" s="119"/>
      <c r="DJ69" s="120"/>
      <c r="DK69" s="120"/>
      <c r="DL69" s="120"/>
      <c r="DM69" s="120"/>
      <c r="DN69" s="119"/>
      <c r="DO69" s="120"/>
      <c r="DP69" s="120"/>
      <c r="DQ69" s="120"/>
      <c r="DR69" s="120"/>
      <c r="DS69" s="119"/>
    </row>
    <row r="70" spans="2:123">
      <c r="B70" s="33"/>
      <c r="C70" s="124"/>
      <c r="D70" s="125"/>
      <c r="E70" s="125"/>
      <c r="F70" s="125"/>
      <c r="G70" s="125"/>
      <c r="H70" s="124"/>
      <c r="I70" s="125"/>
      <c r="J70" s="125"/>
      <c r="K70" s="125"/>
      <c r="L70" s="125"/>
      <c r="M70" s="124"/>
      <c r="N70" s="125"/>
      <c r="O70" s="125"/>
      <c r="P70" s="125"/>
      <c r="Q70" s="125"/>
      <c r="R70" s="124"/>
      <c r="S70" s="125"/>
      <c r="T70" s="125"/>
      <c r="U70" s="125"/>
      <c r="V70" s="125"/>
      <c r="W70" s="124"/>
      <c r="X70" s="125"/>
      <c r="Y70" s="125"/>
      <c r="Z70" s="125"/>
      <c r="AA70" s="125"/>
      <c r="AB70" s="124"/>
      <c r="AC70" s="125"/>
      <c r="AD70" s="125"/>
      <c r="AE70" s="125"/>
      <c r="AF70" s="125"/>
      <c r="AG70" s="124"/>
      <c r="AH70" s="125"/>
      <c r="AI70" s="125"/>
      <c r="AJ70" s="125"/>
      <c r="AK70" s="125"/>
      <c r="AL70" s="124"/>
      <c r="AM70" s="125"/>
      <c r="AN70" s="125"/>
      <c r="AO70" s="125"/>
      <c r="AP70" s="125"/>
      <c r="AQ70" s="124"/>
      <c r="AR70" s="125"/>
      <c r="AS70" s="125"/>
      <c r="AT70" s="125"/>
      <c r="AU70" s="125"/>
      <c r="AV70" s="124"/>
      <c r="AW70" s="125"/>
      <c r="AX70" s="125"/>
      <c r="AY70" s="125"/>
      <c r="AZ70" s="125"/>
      <c r="BA70" s="124"/>
      <c r="BB70" s="125"/>
      <c r="BC70" s="125"/>
      <c r="BD70" s="125"/>
      <c r="BE70" s="125"/>
      <c r="BF70" s="124"/>
      <c r="BG70" s="125"/>
      <c r="BH70" s="125"/>
      <c r="BI70" s="125"/>
      <c r="BJ70" s="125"/>
      <c r="BK70" s="124"/>
      <c r="BL70" s="125"/>
      <c r="BM70" s="125"/>
      <c r="BN70" s="125"/>
      <c r="BO70" s="125"/>
      <c r="BP70" s="124"/>
      <c r="BQ70" s="125"/>
      <c r="BR70" s="125"/>
      <c r="BS70" s="125"/>
      <c r="BT70" s="125"/>
      <c r="BU70" s="124"/>
      <c r="BV70" s="125"/>
      <c r="BW70" s="125"/>
      <c r="BX70" s="125"/>
      <c r="BY70" s="125"/>
      <c r="BZ70" s="124"/>
      <c r="CA70" s="125"/>
      <c r="CB70" s="120"/>
      <c r="CC70" s="120"/>
      <c r="CD70" s="120"/>
      <c r="CE70" s="119"/>
      <c r="CF70" s="120"/>
      <c r="CG70" s="120"/>
      <c r="CH70" s="120"/>
      <c r="CI70" s="120"/>
      <c r="CJ70" s="119"/>
      <c r="CK70" s="120"/>
      <c r="CL70" s="120"/>
      <c r="CM70" s="120"/>
      <c r="CN70" s="120"/>
      <c r="CO70" s="119"/>
      <c r="CP70" s="120"/>
      <c r="CQ70" s="120"/>
      <c r="CR70" s="120"/>
      <c r="CS70" s="120"/>
      <c r="CT70" s="119"/>
      <c r="CU70" s="120"/>
      <c r="CV70" s="120"/>
      <c r="CW70" s="120"/>
      <c r="CX70" s="120"/>
      <c r="CY70" s="119"/>
      <c r="CZ70" s="120"/>
      <c r="DA70" s="120"/>
      <c r="DB70" s="120"/>
      <c r="DC70" s="120"/>
      <c r="DD70" s="119"/>
      <c r="DE70" s="120"/>
      <c r="DF70" s="120"/>
      <c r="DG70" s="120"/>
      <c r="DH70" s="120"/>
      <c r="DI70" s="119"/>
      <c r="DJ70" s="120"/>
      <c r="DK70" s="120"/>
      <c r="DL70" s="120"/>
      <c r="DM70" s="120"/>
      <c r="DN70" s="119"/>
      <c r="DO70" s="120"/>
      <c r="DP70" s="120"/>
      <c r="DQ70" s="120"/>
      <c r="DR70" s="120"/>
      <c r="DS70" s="119"/>
    </row>
    <row r="71" spans="2:123">
      <c r="B71" s="184" t="s">
        <v>317</v>
      </c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  <c r="BM71" s="185"/>
      <c r="BN71" s="185"/>
      <c r="BO71" s="185"/>
      <c r="BP71" s="185"/>
      <c r="BQ71" s="185"/>
      <c r="BR71" s="185"/>
      <c r="BS71" s="185"/>
      <c r="BT71" s="185"/>
      <c r="BU71" s="185"/>
      <c r="BV71" s="185"/>
      <c r="BW71" s="185"/>
      <c r="BX71" s="185"/>
      <c r="BY71" s="185"/>
      <c r="BZ71" s="185"/>
      <c r="CA71" s="185"/>
      <c r="CB71" s="185"/>
      <c r="CC71" s="185"/>
      <c r="CD71" s="185"/>
      <c r="CE71" s="185"/>
      <c r="CF71" s="185"/>
      <c r="CG71" s="185"/>
      <c r="CH71" s="185"/>
      <c r="CI71" s="185"/>
      <c r="CJ71" s="185"/>
      <c r="CK71" s="185"/>
      <c r="CL71" s="185"/>
      <c r="CM71" s="185"/>
      <c r="CN71" s="185"/>
      <c r="CO71" s="185"/>
      <c r="CP71" s="185"/>
      <c r="CQ71" s="185"/>
      <c r="CR71" s="185"/>
      <c r="CS71" s="185"/>
      <c r="CT71" s="185"/>
      <c r="CU71" s="185"/>
      <c r="CV71" s="185"/>
      <c r="CW71" s="185"/>
      <c r="CX71" s="185"/>
      <c r="CY71" s="185"/>
      <c r="CZ71" s="185"/>
      <c r="DA71" s="185"/>
      <c r="DB71" s="185"/>
      <c r="DC71" s="185"/>
      <c r="DD71" s="185"/>
      <c r="DE71" s="185"/>
      <c r="DF71" s="185"/>
      <c r="DG71" s="185"/>
      <c r="DH71" s="185"/>
      <c r="DI71" s="185"/>
      <c r="DJ71" s="185"/>
      <c r="DK71" s="185"/>
      <c r="DL71" s="185"/>
      <c r="DM71" s="185"/>
      <c r="DN71" s="185"/>
      <c r="DO71" s="185"/>
      <c r="DP71" s="185"/>
      <c r="DQ71" s="185"/>
      <c r="DR71" s="185"/>
      <c r="DS71" s="186"/>
    </row>
    <row r="72" spans="2:123">
      <c r="B72" s="33"/>
      <c r="C72" s="119"/>
      <c r="D72" s="120"/>
      <c r="E72" s="120"/>
      <c r="F72" s="120"/>
      <c r="G72" s="120"/>
      <c r="H72" s="119"/>
      <c r="I72" s="120"/>
      <c r="J72" s="120"/>
      <c r="K72" s="120"/>
      <c r="L72" s="120"/>
      <c r="M72" s="119"/>
      <c r="N72" s="120"/>
      <c r="O72" s="120"/>
      <c r="P72" s="120"/>
      <c r="Q72" s="120"/>
      <c r="R72" s="119"/>
      <c r="S72" s="120"/>
      <c r="T72" s="120"/>
      <c r="U72" s="120"/>
      <c r="V72" s="120"/>
      <c r="W72" s="119"/>
      <c r="X72" s="120"/>
      <c r="Y72" s="120"/>
      <c r="Z72" s="120"/>
      <c r="AA72" s="120"/>
      <c r="AB72" s="119"/>
      <c r="AC72" s="120"/>
      <c r="AD72" s="120"/>
      <c r="AE72" s="120"/>
      <c r="AF72" s="120"/>
      <c r="AG72" s="119"/>
      <c r="AH72" s="120"/>
      <c r="AI72" s="120"/>
      <c r="AJ72" s="120"/>
      <c r="AK72" s="120"/>
      <c r="AL72" s="119"/>
      <c r="AM72" s="120"/>
      <c r="AN72" s="120"/>
      <c r="AO72" s="120"/>
      <c r="AP72" s="120"/>
      <c r="AQ72" s="119"/>
      <c r="AR72" s="120"/>
      <c r="AS72" s="120"/>
      <c r="AT72" s="120"/>
      <c r="AU72" s="120"/>
      <c r="AV72" s="119"/>
      <c r="AW72" s="120"/>
      <c r="AX72" s="120"/>
      <c r="AY72" s="120"/>
      <c r="AZ72" s="120"/>
      <c r="BA72" s="119"/>
      <c r="BB72" s="120"/>
      <c r="BC72" s="120"/>
      <c r="BD72" s="120"/>
      <c r="BE72" s="120"/>
      <c r="BF72" s="119"/>
      <c r="BG72" s="120"/>
      <c r="BH72" s="120"/>
      <c r="BI72" s="120"/>
      <c r="BJ72" s="120"/>
      <c r="BK72" s="119"/>
      <c r="BL72" s="120"/>
      <c r="BM72" s="120"/>
      <c r="BN72" s="120"/>
      <c r="BO72" s="120"/>
      <c r="BP72" s="119"/>
      <c r="BQ72" s="120"/>
      <c r="BR72" s="120"/>
      <c r="BS72" s="120"/>
      <c r="BT72" s="120"/>
      <c r="BU72" s="119"/>
      <c r="BV72" s="120"/>
      <c r="BW72" s="120"/>
      <c r="BX72" s="120"/>
      <c r="BY72" s="120"/>
      <c r="BZ72" s="119"/>
      <c r="CA72" s="120"/>
      <c r="CB72" s="120"/>
      <c r="CC72" s="120"/>
      <c r="CD72" s="120"/>
      <c r="CE72" s="119"/>
      <c r="CF72" s="120"/>
      <c r="CG72" s="120"/>
      <c r="CH72" s="120"/>
      <c r="CI72" s="120"/>
      <c r="CJ72" s="119"/>
      <c r="CK72" s="120"/>
      <c r="CL72" s="120"/>
      <c r="CM72" s="120"/>
      <c r="CN72" s="120"/>
      <c r="CO72" s="119"/>
      <c r="CP72" s="120"/>
      <c r="CQ72" s="120"/>
      <c r="CR72" s="120"/>
      <c r="CS72" s="120"/>
      <c r="CT72" s="119"/>
      <c r="CU72" s="120"/>
      <c r="CV72" s="120"/>
      <c r="CW72" s="120"/>
      <c r="CX72" s="120"/>
      <c r="CY72" s="119"/>
      <c r="CZ72" s="120"/>
      <c r="DA72" s="120"/>
      <c r="DB72" s="120"/>
      <c r="DC72" s="120"/>
      <c r="DD72" s="119"/>
      <c r="DE72" s="120"/>
      <c r="DF72" s="120"/>
      <c r="DG72" s="120"/>
      <c r="DH72" s="120"/>
      <c r="DI72" s="119"/>
      <c r="DJ72" s="120"/>
      <c r="DK72" s="120"/>
      <c r="DL72" s="120"/>
      <c r="DM72" s="120"/>
      <c r="DN72" s="119"/>
      <c r="DO72" s="120"/>
      <c r="DP72" s="120"/>
      <c r="DQ72" s="120"/>
      <c r="DR72" s="120"/>
      <c r="DS72" s="119"/>
    </row>
    <row r="73" s="88" customFormat="1" spans="2:123">
      <c r="B73" s="179" t="s">
        <v>318</v>
      </c>
      <c r="C73" s="124"/>
      <c r="D73" s="125"/>
      <c r="E73" s="125"/>
      <c r="F73" s="125"/>
      <c r="G73" s="125"/>
      <c r="H73" s="124"/>
      <c r="I73" s="125"/>
      <c r="J73" s="125"/>
      <c r="K73" s="125"/>
      <c r="L73" s="125"/>
      <c r="M73" s="124"/>
      <c r="N73" s="125"/>
      <c r="O73" s="125"/>
      <c r="P73" s="125"/>
      <c r="Q73" s="125"/>
      <c r="R73" s="124"/>
      <c r="S73" s="125"/>
      <c r="T73" s="125"/>
      <c r="U73" s="125"/>
      <c r="V73" s="125"/>
      <c r="W73" s="124"/>
      <c r="X73" s="125"/>
      <c r="Y73" s="125"/>
      <c r="Z73" s="125"/>
      <c r="AA73" s="125"/>
      <c r="AB73" s="124"/>
      <c r="AC73" s="125"/>
      <c r="AD73" s="125"/>
      <c r="AE73" s="125"/>
      <c r="AF73" s="125"/>
      <c r="AG73" s="124"/>
      <c r="AH73" s="125"/>
      <c r="AI73" s="125"/>
      <c r="AJ73" s="125"/>
      <c r="AK73" s="125"/>
      <c r="AL73" s="124"/>
      <c r="AM73" s="125"/>
      <c r="AN73" s="125"/>
      <c r="AO73" s="125"/>
      <c r="AP73" s="125"/>
      <c r="AQ73" s="124"/>
      <c r="AR73" s="125"/>
      <c r="AS73" s="125"/>
      <c r="AT73" s="125"/>
      <c r="AU73" s="125"/>
      <c r="AV73" s="124"/>
      <c r="AW73" s="125"/>
      <c r="AX73" s="125"/>
      <c r="AY73" s="125"/>
      <c r="AZ73" s="125"/>
      <c r="BA73" s="124"/>
      <c r="BB73" s="125"/>
      <c r="BC73" s="125"/>
      <c r="BD73" s="125"/>
      <c r="BE73" s="125"/>
      <c r="BF73" s="124"/>
      <c r="BG73" s="125"/>
      <c r="BH73" s="125"/>
      <c r="BI73" s="125"/>
      <c r="BJ73" s="125"/>
      <c r="BK73" s="124"/>
      <c r="BL73" s="125"/>
      <c r="BM73" s="125"/>
      <c r="BN73" s="125"/>
      <c r="BO73" s="125"/>
      <c r="BP73" s="124"/>
      <c r="BQ73" s="125"/>
      <c r="BR73" s="125"/>
      <c r="BS73" s="125"/>
      <c r="BT73" s="125"/>
      <c r="BU73" s="124"/>
      <c r="BV73" s="125"/>
      <c r="BW73" s="125"/>
      <c r="BX73" s="125"/>
      <c r="BY73" s="125"/>
      <c r="BZ73" s="124"/>
      <c r="CA73" s="125"/>
      <c r="CB73" s="125"/>
      <c r="CC73" s="125"/>
      <c r="CD73" s="125"/>
      <c r="CE73" s="124"/>
      <c r="CF73" s="125"/>
      <c r="CG73" s="125"/>
      <c r="CH73" s="125"/>
      <c r="CI73" s="125"/>
      <c r="CJ73" s="124"/>
      <c r="CK73" s="125"/>
      <c r="CL73" s="125"/>
      <c r="CM73" s="125"/>
      <c r="CN73" s="125"/>
      <c r="CO73" s="124">
        <f>CO194+CO253+CO332</f>
        <v>-2606.403</v>
      </c>
      <c r="CP73" s="760" t="s">
        <v>208</v>
      </c>
      <c r="CQ73" s="760" t="s">
        <v>208</v>
      </c>
      <c r="CR73" s="760" t="s">
        <v>208</v>
      </c>
      <c r="CS73" s="760" t="s">
        <v>208</v>
      </c>
      <c r="CT73" s="124">
        <f t="shared" ref="CT73:DF73" si="840">CT194+CT253+CT332</f>
        <v>-2841.695</v>
      </c>
      <c r="CU73" s="125">
        <f t="shared" si="840"/>
        <v>-631.044</v>
      </c>
      <c r="CV73" s="125">
        <f t="shared" si="840"/>
        <v>-656.302</v>
      </c>
      <c r="CW73" s="125">
        <f t="shared" si="840"/>
        <v>-672.247</v>
      </c>
      <c r="CX73" s="125">
        <f t="shared" si="840"/>
        <v>-1065.801</v>
      </c>
      <c r="CY73" s="124">
        <f t="shared" si="840"/>
        <v>-3025.394</v>
      </c>
      <c r="CZ73" s="125">
        <f t="shared" si="840"/>
        <v>-652.899</v>
      </c>
      <c r="DA73" s="125">
        <f t="shared" si="840"/>
        <v>-716.141</v>
      </c>
      <c r="DB73" s="125">
        <f t="shared" si="840"/>
        <v>-794.614</v>
      </c>
      <c r="DC73" s="125">
        <f t="shared" si="840"/>
        <v>-1264.377</v>
      </c>
      <c r="DD73" s="124">
        <f t="shared" si="840"/>
        <v>-3428.031</v>
      </c>
      <c r="DE73" s="125">
        <f t="shared" si="840"/>
        <v>-746.445</v>
      </c>
      <c r="DF73" s="125">
        <f t="shared" si="840"/>
        <v>-580.979</v>
      </c>
      <c r="DG73" s="125"/>
      <c r="DH73" s="125"/>
      <c r="DI73" s="124"/>
      <c r="DJ73" s="125"/>
      <c r="DK73" s="125"/>
      <c r="DL73" s="125"/>
      <c r="DM73" s="125"/>
      <c r="DN73" s="124"/>
      <c r="DO73" s="125"/>
      <c r="DP73" s="125"/>
      <c r="DQ73" s="125"/>
      <c r="DR73" s="125"/>
      <c r="DS73" s="124"/>
    </row>
    <row r="74" s="1" customFormat="1" spans="2:123">
      <c r="B74" s="221" t="s">
        <v>307</v>
      </c>
      <c r="C74" s="67"/>
      <c r="D74" s="196"/>
      <c r="E74" s="196"/>
      <c r="F74" s="196"/>
      <c r="G74" s="196"/>
      <c r="H74" s="67"/>
      <c r="I74" s="196"/>
      <c r="J74" s="196"/>
      <c r="K74" s="196"/>
      <c r="L74" s="196"/>
      <c r="M74" s="67"/>
      <c r="N74" s="196"/>
      <c r="O74" s="196"/>
      <c r="P74" s="196"/>
      <c r="Q74" s="196"/>
      <c r="R74" s="67"/>
      <c r="S74" s="196"/>
      <c r="T74" s="196"/>
      <c r="U74" s="196"/>
      <c r="V74" s="196"/>
      <c r="W74" s="67"/>
      <c r="X74" s="196"/>
      <c r="Y74" s="196"/>
      <c r="Z74" s="196"/>
      <c r="AA74" s="196"/>
      <c r="AB74" s="67"/>
      <c r="AC74" s="196"/>
      <c r="AD74" s="196"/>
      <c r="AE74" s="196"/>
      <c r="AF74" s="196"/>
      <c r="AG74" s="67"/>
      <c r="AH74" s="196"/>
      <c r="AI74" s="196"/>
      <c r="AJ74" s="196"/>
      <c r="AK74" s="196"/>
      <c r="AL74" s="67"/>
      <c r="AM74" s="196"/>
      <c r="AN74" s="196"/>
      <c r="AO74" s="196"/>
      <c r="AP74" s="196"/>
      <c r="AQ74" s="67"/>
      <c r="AR74" s="196"/>
      <c r="AS74" s="196"/>
      <c r="AT74" s="196"/>
      <c r="AU74" s="196"/>
      <c r="AV74" s="67"/>
      <c r="AW74" s="196"/>
      <c r="AX74" s="196"/>
      <c r="AY74" s="196"/>
      <c r="AZ74" s="196"/>
      <c r="BA74" s="67"/>
      <c r="BB74" s="196"/>
      <c r="BC74" s="196"/>
      <c r="BD74" s="196"/>
      <c r="BE74" s="196"/>
      <c r="BF74" s="67"/>
      <c r="BG74" s="196"/>
      <c r="BH74" s="196"/>
      <c r="BI74" s="196"/>
      <c r="BJ74" s="196"/>
      <c r="BK74" s="67"/>
      <c r="BL74" s="196"/>
      <c r="BM74" s="196"/>
      <c r="BN74" s="196"/>
      <c r="BO74" s="196"/>
      <c r="BP74" s="67"/>
      <c r="BQ74" s="196"/>
      <c r="BR74" s="196"/>
      <c r="BS74" s="196"/>
      <c r="BT74" s="196"/>
      <c r="BU74" s="67"/>
      <c r="BV74" s="196"/>
      <c r="BW74" s="196"/>
      <c r="BX74" s="196"/>
      <c r="BY74" s="196"/>
      <c r="BZ74" s="67"/>
      <c r="CA74" s="196"/>
      <c r="CB74" s="196"/>
      <c r="CC74" s="196"/>
      <c r="CD74" s="196"/>
      <c r="CE74" s="67"/>
      <c r="CF74" s="196"/>
      <c r="CG74" s="196"/>
      <c r="CH74" s="196"/>
      <c r="CI74" s="196"/>
      <c r="CJ74" s="67"/>
      <c r="CK74" s="196"/>
      <c r="CL74" s="196"/>
      <c r="CM74" s="196"/>
      <c r="CN74" s="196"/>
      <c r="CO74" s="758" t="s">
        <v>208</v>
      </c>
      <c r="CP74" s="760" t="s">
        <v>208</v>
      </c>
      <c r="CQ74" s="760" t="s">
        <v>208</v>
      </c>
      <c r="CR74" s="760" t="s">
        <v>208</v>
      </c>
      <c r="CS74" s="760" t="s">
        <v>208</v>
      </c>
      <c r="CT74" s="67">
        <f>CT73/CO73-1</f>
        <v>0.090274604502834</v>
      </c>
      <c r="CU74" s="196" t="s">
        <v>208</v>
      </c>
      <c r="CV74" s="196" t="s">
        <v>208</v>
      </c>
      <c r="CW74" s="196" t="s">
        <v>208</v>
      </c>
      <c r="CX74" s="196" t="s">
        <v>208</v>
      </c>
      <c r="CY74" s="67">
        <f>CY73/CT73-1</f>
        <v>0.0646441648382394</v>
      </c>
      <c r="CZ74" s="196">
        <f t="shared" ref="CZ74:DF74" si="841">CZ73/CU73-1</f>
        <v>0.0346330842223364</v>
      </c>
      <c r="DA74" s="196">
        <f t="shared" si="841"/>
        <v>0.0911760134815984</v>
      </c>
      <c r="DB74" s="196">
        <f t="shared" si="841"/>
        <v>0.182026844299789</v>
      </c>
      <c r="DC74" s="196">
        <f t="shared" si="841"/>
        <v>0.186316207246944</v>
      </c>
      <c r="DD74" s="67">
        <f t="shared" si="841"/>
        <v>0.133085806344562</v>
      </c>
      <c r="DE74" s="196">
        <f t="shared" si="841"/>
        <v>0.143277903626748</v>
      </c>
      <c r="DF74" s="196">
        <f t="shared" si="841"/>
        <v>-0.188736575618489</v>
      </c>
      <c r="DG74" s="196"/>
      <c r="DH74" s="196"/>
      <c r="DI74" s="67"/>
      <c r="DJ74" s="196"/>
      <c r="DK74" s="196"/>
      <c r="DL74" s="196"/>
      <c r="DM74" s="196"/>
      <c r="DN74" s="67"/>
      <c r="DO74" s="196"/>
      <c r="DP74" s="196"/>
      <c r="DQ74" s="196"/>
      <c r="DR74" s="196"/>
      <c r="DS74" s="67"/>
    </row>
    <row r="75" s="1" customFormat="1" spans="2:123">
      <c r="B75" s="221" t="s">
        <v>319</v>
      </c>
      <c r="C75" s="67"/>
      <c r="D75" s="196"/>
      <c r="E75" s="196"/>
      <c r="F75" s="196"/>
      <c r="G75" s="196"/>
      <c r="H75" s="67"/>
      <c r="I75" s="196"/>
      <c r="J75" s="196"/>
      <c r="K75" s="196"/>
      <c r="L75" s="196"/>
      <c r="M75" s="67"/>
      <c r="N75" s="196"/>
      <c r="O75" s="196"/>
      <c r="P75" s="196"/>
      <c r="Q75" s="196"/>
      <c r="R75" s="67"/>
      <c r="S75" s="196"/>
      <c r="T75" s="196"/>
      <c r="U75" s="196"/>
      <c r="V75" s="196"/>
      <c r="W75" s="67"/>
      <c r="X75" s="196"/>
      <c r="Y75" s="196"/>
      <c r="Z75" s="196"/>
      <c r="AA75" s="196"/>
      <c r="AB75" s="67"/>
      <c r="AC75" s="196"/>
      <c r="AD75" s="196"/>
      <c r="AE75" s="196"/>
      <c r="AF75" s="196"/>
      <c r="AG75" s="67"/>
      <c r="AH75" s="196"/>
      <c r="AI75" s="196"/>
      <c r="AJ75" s="196"/>
      <c r="AK75" s="196"/>
      <c r="AL75" s="67"/>
      <c r="AM75" s="196"/>
      <c r="AN75" s="196"/>
      <c r="AO75" s="196"/>
      <c r="AP75" s="196"/>
      <c r="AQ75" s="67"/>
      <c r="AR75" s="196"/>
      <c r="AS75" s="196"/>
      <c r="AT75" s="196"/>
      <c r="AU75" s="196"/>
      <c r="AV75" s="67"/>
      <c r="AW75" s="196"/>
      <c r="AX75" s="196"/>
      <c r="AY75" s="196"/>
      <c r="AZ75" s="196"/>
      <c r="BA75" s="67"/>
      <c r="BB75" s="196"/>
      <c r="BC75" s="196"/>
      <c r="BD75" s="196"/>
      <c r="BE75" s="196"/>
      <c r="BF75" s="67"/>
      <c r="BG75" s="196"/>
      <c r="BH75" s="196"/>
      <c r="BI75" s="196"/>
      <c r="BJ75" s="196"/>
      <c r="BK75" s="67"/>
      <c r="BL75" s="196"/>
      <c r="BM75" s="196"/>
      <c r="BN75" s="196"/>
      <c r="BO75" s="196"/>
      <c r="BP75" s="67"/>
      <c r="BQ75" s="196"/>
      <c r="BR75" s="196"/>
      <c r="BS75" s="196"/>
      <c r="BT75" s="196"/>
      <c r="BU75" s="67"/>
      <c r="BV75" s="196"/>
      <c r="BW75" s="196"/>
      <c r="BX75" s="196"/>
      <c r="BY75" s="196"/>
      <c r="BZ75" s="67"/>
      <c r="CA75" s="196"/>
      <c r="CB75" s="196"/>
      <c r="CC75" s="196"/>
      <c r="CD75" s="196"/>
      <c r="CE75" s="67"/>
      <c r="CF75" s="196"/>
      <c r="CG75" s="196"/>
      <c r="CH75" s="196"/>
      <c r="CI75" s="196"/>
      <c r="CJ75" s="67"/>
      <c r="CK75" s="196"/>
      <c r="CL75" s="196"/>
      <c r="CM75" s="196"/>
      <c r="CN75" s="196"/>
      <c r="CO75" s="67">
        <f>(CO13+CO73)/CO13</f>
        <v>0.678639144873361</v>
      </c>
      <c r="CP75" s="760" t="s">
        <v>208</v>
      </c>
      <c r="CQ75" s="760" t="s">
        <v>208</v>
      </c>
      <c r="CR75" s="760" t="s">
        <v>208</v>
      </c>
      <c r="CS75" s="760" t="s">
        <v>208</v>
      </c>
      <c r="CT75" s="67">
        <f t="shared" ref="CT75:DF75" si="842">(CT13+CT73)/CT13</f>
        <v>0.704583337751544</v>
      </c>
      <c r="CU75" s="196">
        <f t="shared" si="842"/>
        <v>0.714316369617152</v>
      </c>
      <c r="CV75" s="196">
        <f t="shared" si="842"/>
        <v>0.723205225639983</v>
      </c>
      <c r="CW75" s="196">
        <f t="shared" si="842"/>
        <v>0.719506730199528</v>
      </c>
      <c r="CX75" s="196">
        <f t="shared" si="842"/>
        <v>0.704886643959555</v>
      </c>
      <c r="CY75" s="67">
        <f t="shared" si="842"/>
        <v>0.714265395028355</v>
      </c>
      <c r="CZ75" s="196">
        <f t="shared" si="842"/>
        <v>0.724591885803953</v>
      </c>
      <c r="DA75" s="196">
        <f t="shared" si="842"/>
        <v>0.716404398984801</v>
      </c>
      <c r="DB75" s="196">
        <f t="shared" si="842"/>
        <v>0.690320041154829</v>
      </c>
      <c r="DC75" s="196">
        <f t="shared" si="842"/>
        <v>0.652720101977559</v>
      </c>
      <c r="DD75" s="67">
        <f t="shared" si="842"/>
        <v>0.691240700376488</v>
      </c>
      <c r="DE75" s="196">
        <f t="shared" si="842"/>
        <v>0.697991546376987</v>
      </c>
      <c r="DF75" s="196">
        <f t="shared" si="842"/>
        <v>0.759491826359241</v>
      </c>
      <c r="DG75" s="196"/>
      <c r="DH75" s="196"/>
      <c r="DI75" s="67"/>
      <c r="DJ75" s="196"/>
      <c r="DK75" s="196"/>
      <c r="DL75" s="196"/>
      <c r="DM75" s="196"/>
      <c r="DN75" s="67"/>
      <c r="DO75" s="196"/>
      <c r="DP75" s="196"/>
      <c r="DQ75" s="196"/>
      <c r="DR75" s="196"/>
      <c r="DS75" s="67"/>
    </row>
    <row r="76" spans="2:123">
      <c r="B76" s="222" t="s">
        <v>320</v>
      </c>
      <c r="C76" s="119"/>
      <c r="D76" s="120"/>
      <c r="E76" s="120"/>
      <c r="F76" s="120"/>
      <c r="G76" s="120"/>
      <c r="H76" s="223"/>
      <c r="I76" s="224"/>
      <c r="J76" s="224"/>
      <c r="K76" s="224"/>
      <c r="L76" s="224"/>
      <c r="M76" s="223"/>
      <c r="N76" s="224"/>
      <c r="O76" s="224"/>
      <c r="P76" s="224"/>
      <c r="Q76" s="224"/>
      <c r="R76" s="223"/>
      <c r="S76" s="224"/>
      <c r="T76" s="224"/>
      <c r="U76" s="224"/>
      <c r="V76" s="224"/>
      <c r="W76" s="223"/>
      <c r="X76" s="224"/>
      <c r="Y76" s="224"/>
      <c r="Z76" s="224"/>
      <c r="AA76" s="224"/>
      <c r="AB76" s="223"/>
      <c r="AC76" s="224"/>
      <c r="AD76" s="224"/>
      <c r="AE76" s="224"/>
      <c r="AF76" s="224"/>
      <c r="AG76" s="223"/>
      <c r="AH76" s="224"/>
      <c r="AI76" s="224"/>
      <c r="AJ76" s="224"/>
      <c r="AK76" s="224"/>
      <c r="AL76" s="223"/>
      <c r="AM76" s="224"/>
      <c r="AN76" s="224"/>
      <c r="AO76" s="224"/>
      <c r="AP76" s="224"/>
      <c r="AQ76" s="223"/>
      <c r="AR76" s="224"/>
      <c r="AS76" s="224"/>
      <c r="AT76" s="224"/>
      <c r="AU76" s="224"/>
      <c r="AV76" s="223"/>
      <c r="AW76" s="224"/>
      <c r="AX76" s="224"/>
      <c r="AY76" s="224"/>
      <c r="AZ76" s="224"/>
      <c r="BA76" s="223"/>
      <c r="BB76" s="224"/>
      <c r="BC76" s="224"/>
      <c r="BD76" s="224"/>
      <c r="BE76" s="224"/>
      <c r="BF76" s="223"/>
      <c r="BG76" s="224"/>
      <c r="BH76" s="224"/>
      <c r="BI76" s="224"/>
      <c r="BJ76" s="224"/>
      <c r="BK76" s="223"/>
      <c r="BL76" s="224"/>
      <c r="BM76" s="224"/>
      <c r="BN76" s="224"/>
      <c r="BO76" s="224"/>
      <c r="BP76" s="223"/>
      <c r="BQ76" s="224"/>
      <c r="BR76" s="224"/>
      <c r="BS76" s="224"/>
      <c r="BT76" s="224"/>
      <c r="BU76" s="223"/>
      <c r="BV76" s="224"/>
      <c r="BW76" s="224"/>
      <c r="BX76" s="224"/>
      <c r="BY76" s="224"/>
      <c r="BZ76" s="223"/>
      <c r="CA76" s="224"/>
      <c r="CB76" s="224"/>
      <c r="CC76" s="224"/>
      <c r="CD76" s="224"/>
      <c r="CE76" s="223"/>
      <c r="CF76" s="224"/>
      <c r="CG76" s="224"/>
      <c r="CH76" s="224"/>
      <c r="CI76" s="224"/>
      <c r="CJ76" s="223"/>
      <c r="CK76" s="224"/>
      <c r="CL76" s="224"/>
      <c r="CM76" s="224"/>
      <c r="CN76" s="224"/>
      <c r="CO76" s="223" t="s">
        <v>208</v>
      </c>
      <c r="CP76" s="760" t="s">
        <v>208</v>
      </c>
      <c r="CQ76" s="760" t="s">
        <v>208</v>
      </c>
      <c r="CR76" s="760" t="s">
        <v>208</v>
      </c>
      <c r="CS76" s="760" t="s">
        <v>208</v>
      </c>
      <c r="CT76" s="223">
        <f>(CT75-CO75)*100*100</f>
        <v>259.441928781836</v>
      </c>
      <c r="CU76" s="224" t="s">
        <v>208</v>
      </c>
      <c r="CV76" s="224" t="s">
        <v>208</v>
      </c>
      <c r="CW76" s="224" t="s">
        <v>208</v>
      </c>
      <c r="CX76" s="224" t="s">
        <v>208</v>
      </c>
      <c r="CY76" s="223">
        <f>(CY75-CT75)*100*100</f>
        <v>96.8205727681093</v>
      </c>
      <c r="CZ76" s="224">
        <f t="shared" ref="CZ76:DF76" si="843">(CZ75-CU75)*100*100</f>
        <v>102.755161868016</v>
      </c>
      <c r="DA76" s="224">
        <f t="shared" si="843"/>
        <v>-68.0082665518222</v>
      </c>
      <c r="DB76" s="224">
        <f t="shared" si="843"/>
        <v>-291.866890446983</v>
      </c>
      <c r="DC76" s="224">
        <f t="shared" si="843"/>
        <v>-521.665419819953</v>
      </c>
      <c r="DD76" s="223">
        <f t="shared" si="843"/>
        <v>-230.246946518668</v>
      </c>
      <c r="DE76" s="224">
        <f t="shared" si="843"/>
        <v>-266.003394269665</v>
      </c>
      <c r="DF76" s="224">
        <f t="shared" si="843"/>
        <v>430.874273744403</v>
      </c>
      <c r="DG76" s="224"/>
      <c r="DH76" s="224"/>
      <c r="DI76" s="223"/>
      <c r="DJ76" s="224"/>
      <c r="DK76" s="224"/>
      <c r="DL76" s="224"/>
      <c r="DM76" s="224"/>
      <c r="DN76" s="223"/>
      <c r="DO76" s="224"/>
      <c r="DP76" s="224"/>
      <c r="DQ76" s="224"/>
      <c r="DR76" s="224"/>
      <c r="DS76" s="223"/>
    </row>
    <row r="77" s="88" customFormat="1" spans="2:123">
      <c r="B77" s="179" t="s">
        <v>321</v>
      </c>
      <c r="C77" s="124"/>
      <c r="D77" s="125"/>
      <c r="E77" s="125"/>
      <c r="F77" s="125"/>
      <c r="G77" s="125"/>
      <c r="H77" s="124"/>
      <c r="I77" s="125"/>
      <c r="J77" s="125"/>
      <c r="K77" s="125"/>
      <c r="L77" s="125"/>
      <c r="M77" s="124"/>
      <c r="N77" s="125"/>
      <c r="O77" s="125"/>
      <c r="P77" s="125"/>
      <c r="Q77" s="125"/>
      <c r="R77" s="124"/>
      <c r="S77" s="125"/>
      <c r="T77" s="125"/>
      <c r="U77" s="125"/>
      <c r="V77" s="125"/>
      <c r="W77" s="124"/>
      <c r="X77" s="125"/>
      <c r="Y77" s="125"/>
      <c r="Z77" s="125"/>
      <c r="AA77" s="125"/>
      <c r="AB77" s="124"/>
      <c r="AC77" s="125"/>
      <c r="AD77" s="125"/>
      <c r="AE77" s="125"/>
      <c r="AF77" s="125"/>
      <c r="AG77" s="124"/>
      <c r="AH77" s="125"/>
      <c r="AI77" s="125"/>
      <c r="AJ77" s="125"/>
      <c r="AK77" s="125"/>
      <c r="AL77" s="124"/>
      <c r="AM77" s="125"/>
      <c r="AN77" s="125"/>
      <c r="AO77" s="125"/>
      <c r="AP77" s="125"/>
      <c r="AQ77" s="124"/>
      <c r="AR77" s="125"/>
      <c r="AS77" s="125"/>
      <c r="AT77" s="125"/>
      <c r="AU77" s="125"/>
      <c r="AV77" s="124"/>
      <c r="AW77" s="125"/>
      <c r="AX77" s="125"/>
      <c r="AY77" s="125"/>
      <c r="AZ77" s="125"/>
      <c r="BA77" s="124"/>
      <c r="BB77" s="125"/>
      <c r="BC77" s="125"/>
      <c r="BD77" s="125"/>
      <c r="BE77" s="125"/>
      <c r="BF77" s="124"/>
      <c r="BG77" s="125"/>
      <c r="BH77" s="125"/>
      <c r="BI77" s="125"/>
      <c r="BJ77" s="125"/>
      <c r="BK77" s="124"/>
      <c r="BL77" s="125"/>
      <c r="BM77" s="125"/>
      <c r="BN77" s="125"/>
      <c r="BO77" s="125"/>
      <c r="BP77" s="124"/>
      <c r="BQ77" s="125"/>
      <c r="BR77" s="125"/>
      <c r="BS77" s="125"/>
      <c r="BT77" s="125"/>
      <c r="BU77" s="124"/>
      <c r="BV77" s="125"/>
      <c r="BW77" s="125"/>
      <c r="BX77" s="125"/>
      <c r="BY77" s="125"/>
      <c r="BZ77" s="124"/>
      <c r="CA77" s="125"/>
      <c r="CB77" s="125"/>
      <c r="CC77" s="125"/>
      <c r="CD77" s="125"/>
      <c r="CE77" s="124"/>
      <c r="CF77" s="125"/>
      <c r="CG77" s="125"/>
      <c r="CH77" s="125"/>
      <c r="CI77" s="125"/>
      <c r="CJ77" s="124"/>
      <c r="CK77" s="125"/>
      <c r="CL77" s="125"/>
      <c r="CM77" s="125"/>
      <c r="CN77" s="125"/>
      <c r="CO77" s="124">
        <f>CO199+CO258+CO337+CO364</f>
        <v>-948.847</v>
      </c>
      <c r="CP77" s="760" t="s">
        <v>208</v>
      </c>
      <c r="CQ77" s="760" t="s">
        <v>208</v>
      </c>
      <c r="CR77" s="760" t="s">
        <v>208</v>
      </c>
      <c r="CS77" s="760" t="s">
        <v>208</v>
      </c>
      <c r="CT77" s="124">
        <f t="shared" ref="CT77:DF77" si="844">CT199+CT258+CT337+CT364</f>
        <v>-1144.469</v>
      </c>
      <c r="CU77" s="125">
        <f t="shared" si="844"/>
        <v>-302.779</v>
      </c>
      <c r="CV77" s="125">
        <f t="shared" si="844"/>
        <v>-302.591</v>
      </c>
      <c r="CW77" s="125">
        <f t="shared" si="844"/>
        <v>-322.807</v>
      </c>
      <c r="CX77" s="125">
        <f t="shared" si="844"/>
        <v>-363.744</v>
      </c>
      <c r="CY77" s="124">
        <f t="shared" si="844"/>
        <v>-1291.921</v>
      </c>
      <c r="CZ77" s="125">
        <f t="shared" si="844"/>
        <v>-334.635</v>
      </c>
      <c r="DA77" s="125">
        <f t="shared" si="844"/>
        <v>-331.876</v>
      </c>
      <c r="DB77" s="125">
        <f t="shared" si="844"/>
        <v>-345.39</v>
      </c>
      <c r="DC77" s="125">
        <f t="shared" si="844"/>
        <v>-378.536</v>
      </c>
      <c r="DD77" s="124">
        <f t="shared" si="844"/>
        <v>-1390.437</v>
      </c>
      <c r="DE77" s="125">
        <f t="shared" si="844"/>
        <v>-386.34</v>
      </c>
      <c r="DF77" s="125">
        <f t="shared" si="844"/>
        <v>-372.774</v>
      </c>
      <c r="DG77" s="125"/>
      <c r="DH77" s="125"/>
      <c r="DI77" s="124"/>
      <c r="DJ77" s="125"/>
      <c r="DK77" s="125"/>
      <c r="DL77" s="125"/>
      <c r="DM77" s="125"/>
      <c r="DN77" s="124"/>
      <c r="DO77" s="125"/>
      <c r="DP77" s="125"/>
      <c r="DQ77" s="125"/>
      <c r="DR77" s="125"/>
      <c r="DS77" s="124"/>
    </row>
    <row r="78" spans="2:123">
      <c r="B78" s="225" t="s">
        <v>307</v>
      </c>
      <c r="C78" s="119"/>
      <c r="D78" s="120"/>
      <c r="E78" s="120"/>
      <c r="F78" s="120"/>
      <c r="G78" s="120"/>
      <c r="H78" s="119"/>
      <c r="I78" s="120"/>
      <c r="J78" s="120"/>
      <c r="K78" s="120"/>
      <c r="L78" s="120"/>
      <c r="M78" s="119"/>
      <c r="N78" s="120"/>
      <c r="O78" s="120"/>
      <c r="P78" s="120"/>
      <c r="Q78" s="120"/>
      <c r="R78" s="119"/>
      <c r="S78" s="120"/>
      <c r="T78" s="120"/>
      <c r="U78" s="120"/>
      <c r="V78" s="120"/>
      <c r="W78" s="119"/>
      <c r="X78" s="120"/>
      <c r="Y78" s="120"/>
      <c r="Z78" s="120"/>
      <c r="AA78" s="120"/>
      <c r="AB78" s="119"/>
      <c r="AC78" s="120"/>
      <c r="AD78" s="120"/>
      <c r="AE78" s="120"/>
      <c r="AF78" s="120"/>
      <c r="AG78" s="119"/>
      <c r="AH78" s="120"/>
      <c r="AI78" s="120"/>
      <c r="AJ78" s="120"/>
      <c r="AK78" s="120"/>
      <c r="AL78" s="119"/>
      <c r="AM78" s="120"/>
      <c r="AN78" s="120"/>
      <c r="AO78" s="120"/>
      <c r="AP78" s="120"/>
      <c r="AQ78" s="119"/>
      <c r="AR78" s="120"/>
      <c r="AS78" s="120"/>
      <c r="AT78" s="120"/>
      <c r="AU78" s="120"/>
      <c r="AV78" s="119"/>
      <c r="AW78" s="120"/>
      <c r="AX78" s="120"/>
      <c r="AY78" s="120"/>
      <c r="AZ78" s="120"/>
      <c r="BA78" s="119"/>
      <c r="BB78" s="120"/>
      <c r="BC78" s="120"/>
      <c r="BD78" s="120"/>
      <c r="BE78" s="120"/>
      <c r="BF78" s="119"/>
      <c r="BG78" s="120"/>
      <c r="BH78" s="120"/>
      <c r="BI78" s="120"/>
      <c r="BJ78" s="120"/>
      <c r="BK78" s="119"/>
      <c r="BL78" s="120"/>
      <c r="BM78" s="120"/>
      <c r="BN78" s="120"/>
      <c r="BO78" s="120"/>
      <c r="BP78" s="119"/>
      <c r="BQ78" s="120"/>
      <c r="BR78" s="120"/>
      <c r="BS78" s="120"/>
      <c r="BT78" s="120"/>
      <c r="BU78" s="119"/>
      <c r="BV78" s="120"/>
      <c r="BW78" s="120"/>
      <c r="BX78" s="120"/>
      <c r="BY78" s="120"/>
      <c r="BZ78" s="119"/>
      <c r="CA78" s="120"/>
      <c r="CB78" s="120"/>
      <c r="CC78" s="120"/>
      <c r="CD78" s="120"/>
      <c r="CE78" s="119"/>
      <c r="CF78" s="120"/>
      <c r="CG78" s="120"/>
      <c r="CH78" s="120"/>
      <c r="CI78" s="120"/>
      <c r="CJ78" s="119"/>
      <c r="CK78" s="120"/>
      <c r="CL78" s="120"/>
      <c r="CM78" s="120"/>
      <c r="CN78" s="120"/>
      <c r="CO78" s="763" t="s">
        <v>208</v>
      </c>
      <c r="CP78" s="760" t="s">
        <v>208</v>
      </c>
      <c r="CQ78" s="760" t="s">
        <v>208</v>
      </c>
      <c r="CR78" s="760" t="s">
        <v>208</v>
      </c>
      <c r="CS78" s="760" t="s">
        <v>208</v>
      </c>
      <c r="CT78" s="67">
        <f>CT77/CO77-1</f>
        <v>0.20616811772604</v>
      </c>
      <c r="CU78" s="120" t="s">
        <v>208</v>
      </c>
      <c r="CV78" s="120" t="s">
        <v>208</v>
      </c>
      <c r="CW78" s="120" t="s">
        <v>208</v>
      </c>
      <c r="CX78" s="120" t="s">
        <v>208</v>
      </c>
      <c r="CY78" s="67">
        <f>CY77/CT77-1</f>
        <v>0.128838788992974</v>
      </c>
      <c r="CZ78" s="196">
        <f t="shared" ref="CZ78" si="845">CZ77/CU77-1</f>
        <v>0.105212052355018</v>
      </c>
      <c r="DA78" s="196">
        <f t="shared" ref="DA78:DD78" si="846">DA77/CV77-1</f>
        <v>0.0967808031302979</v>
      </c>
      <c r="DB78" s="196">
        <f t="shared" si="846"/>
        <v>0.0699582103238159</v>
      </c>
      <c r="DC78" s="226">
        <f t="shared" si="846"/>
        <v>0.0406659628749895</v>
      </c>
      <c r="DD78" s="67">
        <f t="shared" si="846"/>
        <v>0.0762554366714376</v>
      </c>
      <c r="DE78" s="196">
        <f t="shared" ref="DE78:DF78" si="847">DE77/CZ77-1</f>
        <v>0.15451163207674</v>
      </c>
      <c r="DF78" s="196">
        <f t="shared" si="847"/>
        <v>0.123232773686557</v>
      </c>
      <c r="DG78" s="196"/>
      <c r="DH78" s="196"/>
      <c r="DI78" s="67"/>
      <c r="DJ78" s="196"/>
      <c r="DK78" s="196"/>
      <c r="DL78" s="196"/>
      <c r="DM78" s="196"/>
      <c r="DN78" s="67"/>
      <c r="DO78" s="196"/>
      <c r="DP78" s="196"/>
      <c r="DQ78" s="196"/>
      <c r="DR78" s="196"/>
      <c r="DS78" s="67"/>
    </row>
    <row r="79" s="89" customFormat="1" spans="2:123">
      <c r="B79" s="227" t="s">
        <v>71</v>
      </c>
      <c r="C79" s="131"/>
      <c r="D79" s="132"/>
      <c r="E79" s="132"/>
      <c r="F79" s="132"/>
      <c r="G79" s="132"/>
      <c r="H79" s="131"/>
      <c r="I79" s="132"/>
      <c r="J79" s="132"/>
      <c r="K79" s="132"/>
      <c r="L79" s="132"/>
      <c r="M79" s="131"/>
      <c r="N79" s="132"/>
      <c r="O79" s="132"/>
      <c r="P79" s="132"/>
      <c r="Q79" s="132"/>
      <c r="R79" s="131"/>
      <c r="S79" s="132"/>
      <c r="T79" s="132"/>
      <c r="U79" s="132"/>
      <c r="V79" s="132"/>
      <c r="W79" s="131"/>
      <c r="X79" s="132"/>
      <c r="Y79" s="132"/>
      <c r="Z79" s="132"/>
      <c r="AA79" s="132"/>
      <c r="AB79" s="131"/>
      <c r="AC79" s="132"/>
      <c r="AD79" s="132"/>
      <c r="AE79" s="132"/>
      <c r="AF79" s="132"/>
      <c r="AG79" s="131"/>
      <c r="AH79" s="132"/>
      <c r="AI79" s="132"/>
      <c r="AJ79" s="132"/>
      <c r="AK79" s="132"/>
      <c r="AL79" s="131"/>
      <c r="AM79" s="132"/>
      <c r="AN79" s="132"/>
      <c r="AO79" s="132"/>
      <c r="AP79" s="132"/>
      <c r="AQ79" s="131"/>
      <c r="AR79" s="132"/>
      <c r="AS79" s="132"/>
      <c r="AT79" s="132"/>
      <c r="AU79" s="132"/>
      <c r="AV79" s="131"/>
      <c r="AW79" s="132"/>
      <c r="AX79" s="132"/>
      <c r="AY79" s="132"/>
      <c r="AZ79" s="132"/>
      <c r="BA79" s="131"/>
      <c r="BB79" s="132"/>
      <c r="BC79" s="132"/>
      <c r="BD79" s="132"/>
      <c r="BE79" s="132"/>
      <c r="BF79" s="131"/>
      <c r="BG79" s="132"/>
      <c r="BH79" s="132"/>
      <c r="BI79" s="132"/>
      <c r="BJ79" s="132"/>
      <c r="BK79" s="131"/>
      <c r="BL79" s="132"/>
      <c r="BM79" s="132"/>
      <c r="BN79" s="132"/>
      <c r="BO79" s="132"/>
      <c r="BP79" s="131"/>
      <c r="BQ79" s="132"/>
      <c r="BR79" s="132"/>
      <c r="BS79" s="132"/>
      <c r="BT79" s="132"/>
      <c r="BU79" s="131"/>
      <c r="BV79" s="132"/>
      <c r="BW79" s="132"/>
      <c r="BX79" s="132"/>
      <c r="BY79" s="132"/>
      <c r="BZ79" s="131"/>
      <c r="CA79" s="132"/>
      <c r="CB79" s="132"/>
      <c r="CC79" s="132"/>
      <c r="CD79" s="132"/>
      <c r="CE79" s="131"/>
      <c r="CF79" s="132"/>
      <c r="CG79" s="132"/>
      <c r="CH79" s="132"/>
      <c r="CI79" s="132"/>
      <c r="CJ79" s="131"/>
      <c r="CK79" s="132"/>
      <c r="CL79" s="132"/>
      <c r="CM79" s="132"/>
      <c r="CN79" s="132"/>
      <c r="CO79" s="131">
        <f>CO13+CO73+CO77</f>
        <v>4555.268</v>
      </c>
      <c r="CP79" s="761" t="s">
        <v>208</v>
      </c>
      <c r="CQ79" s="761" t="s">
        <v>208</v>
      </c>
      <c r="CR79" s="761" t="s">
        <v>208</v>
      </c>
      <c r="CS79" s="761" t="s">
        <v>208</v>
      </c>
      <c r="CT79" s="131">
        <f t="shared" ref="CT79:DF79" si="848">CT13+CT73+CT77</f>
        <v>5633.114</v>
      </c>
      <c r="CU79" s="132">
        <f t="shared" si="848"/>
        <v>1275.068</v>
      </c>
      <c r="CV79" s="132">
        <f t="shared" si="848"/>
        <v>1412.185</v>
      </c>
      <c r="CW79" s="132">
        <f t="shared" si="848"/>
        <v>1401.606</v>
      </c>
      <c r="CX79" s="132">
        <f t="shared" si="848"/>
        <v>2181.952</v>
      </c>
      <c r="CY79" s="131">
        <f t="shared" si="848"/>
        <v>6270.811</v>
      </c>
      <c r="CZ79" s="132">
        <f t="shared" si="848"/>
        <v>1383.126</v>
      </c>
      <c r="DA79" s="132">
        <f t="shared" si="848"/>
        <v>1477.202</v>
      </c>
      <c r="DB79" s="132">
        <f t="shared" si="848"/>
        <v>1425.916</v>
      </c>
      <c r="DC79" s="132">
        <f t="shared" si="848"/>
        <v>1997.888</v>
      </c>
      <c r="DD79" s="131">
        <f t="shared" si="848"/>
        <v>6284.132</v>
      </c>
      <c r="DE79" s="132">
        <f t="shared" si="848"/>
        <v>1338.818</v>
      </c>
      <c r="DF79" s="132">
        <f t="shared" si="848"/>
        <v>1461.878</v>
      </c>
      <c r="DG79" s="132"/>
      <c r="DH79" s="132"/>
      <c r="DI79" s="131"/>
      <c r="DJ79" s="132"/>
      <c r="DK79" s="132"/>
      <c r="DL79" s="132"/>
      <c r="DM79" s="132"/>
      <c r="DN79" s="131"/>
      <c r="DO79" s="132"/>
      <c r="DP79" s="132"/>
      <c r="DQ79" s="132"/>
      <c r="DR79" s="132"/>
      <c r="DS79" s="131"/>
    </row>
    <row r="80" s="1" customFormat="1" spans="2:123">
      <c r="B80" s="174" t="s">
        <v>307</v>
      </c>
      <c r="C80" s="67"/>
      <c r="D80" s="196"/>
      <c r="E80" s="196"/>
      <c r="F80" s="196"/>
      <c r="G80" s="196"/>
      <c r="H80" s="67"/>
      <c r="I80" s="196"/>
      <c r="J80" s="196"/>
      <c r="K80" s="196"/>
      <c r="L80" s="196"/>
      <c r="M80" s="67"/>
      <c r="N80" s="196"/>
      <c r="O80" s="196"/>
      <c r="P80" s="196"/>
      <c r="Q80" s="196"/>
      <c r="R80" s="67"/>
      <c r="S80" s="196"/>
      <c r="T80" s="196"/>
      <c r="U80" s="196"/>
      <c r="V80" s="196"/>
      <c r="W80" s="67"/>
      <c r="X80" s="196"/>
      <c r="Y80" s="196"/>
      <c r="Z80" s="196"/>
      <c r="AA80" s="196"/>
      <c r="AB80" s="67"/>
      <c r="AC80" s="196"/>
      <c r="AD80" s="196"/>
      <c r="AE80" s="196"/>
      <c r="AF80" s="196"/>
      <c r="AG80" s="67"/>
      <c r="AH80" s="196"/>
      <c r="AI80" s="196"/>
      <c r="AJ80" s="196"/>
      <c r="AK80" s="196"/>
      <c r="AL80" s="67"/>
      <c r="AM80" s="196"/>
      <c r="AN80" s="196"/>
      <c r="AO80" s="196"/>
      <c r="AP80" s="196"/>
      <c r="AQ80" s="67"/>
      <c r="AR80" s="196"/>
      <c r="AS80" s="196"/>
      <c r="AT80" s="196"/>
      <c r="AU80" s="196"/>
      <c r="AV80" s="67"/>
      <c r="AW80" s="196"/>
      <c r="AX80" s="196"/>
      <c r="AY80" s="196"/>
      <c r="AZ80" s="196"/>
      <c r="BA80" s="67"/>
      <c r="BB80" s="196"/>
      <c r="BC80" s="196"/>
      <c r="BD80" s="196"/>
      <c r="BE80" s="196"/>
      <c r="BF80" s="67"/>
      <c r="BG80" s="196"/>
      <c r="BH80" s="196"/>
      <c r="BI80" s="196"/>
      <c r="BJ80" s="196"/>
      <c r="BK80" s="67"/>
      <c r="BL80" s="196"/>
      <c r="BM80" s="196"/>
      <c r="BN80" s="196"/>
      <c r="BO80" s="196"/>
      <c r="BP80" s="67"/>
      <c r="BQ80" s="196"/>
      <c r="BR80" s="196"/>
      <c r="BS80" s="196"/>
      <c r="BT80" s="196"/>
      <c r="BU80" s="67"/>
      <c r="BV80" s="196"/>
      <c r="BW80" s="196"/>
      <c r="BX80" s="196"/>
      <c r="BY80" s="196"/>
      <c r="BZ80" s="67"/>
      <c r="CA80" s="196"/>
      <c r="CB80" s="196"/>
      <c r="CC80" s="196"/>
      <c r="CD80" s="196"/>
      <c r="CE80" s="67"/>
      <c r="CF80" s="196"/>
      <c r="CG80" s="196"/>
      <c r="CH80" s="196"/>
      <c r="CI80" s="196"/>
      <c r="CJ80" s="67"/>
      <c r="CK80" s="196"/>
      <c r="CL80" s="196"/>
      <c r="CM80" s="196"/>
      <c r="CN80" s="196"/>
      <c r="CO80" s="758" t="s">
        <v>208</v>
      </c>
      <c r="CP80" s="761" t="s">
        <v>208</v>
      </c>
      <c r="CQ80" s="761" t="s">
        <v>208</v>
      </c>
      <c r="CR80" s="761" t="s">
        <v>208</v>
      </c>
      <c r="CS80" s="761" t="s">
        <v>208</v>
      </c>
      <c r="CT80" s="67">
        <f>CT79/CO79-1</f>
        <v>0.236615277081392</v>
      </c>
      <c r="CU80" s="761" t="s">
        <v>208</v>
      </c>
      <c r="CV80" s="761" t="s">
        <v>208</v>
      </c>
      <c r="CW80" s="761" t="s">
        <v>208</v>
      </c>
      <c r="CX80" s="761" t="s">
        <v>208</v>
      </c>
      <c r="CY80" s="67">
        <f t="shared" ref="CY80:DF80" si="849">CY79/CT79-1</f>
        <v>0.11320505851648</v>
      </c>
      <c r="CZ80" s="196">
        <f t="shared" si="849"/>
        <v>0.0847468527168744</v>
      </c>
      <c r="DA80" s="196">
        <f t="shared" si="849"/>
        <v>0.0460400018411187</v>
      </c>
      <c r="DB80" s="196">
        <f t="shared" si="849"/>
        <v>0.0173443892220779</v>
      </c>
      <c r="DC80" s="226">
        <f t="shared" si="849"/>
        <v>-0.0843574927404453</v>
      </c>
      <c r="DD80" s="67">
        <f t="shared" ref="DD80" si="850">DD79/CY79-1</f>
        <v>0.00212428663533326</v>
      </c>
      <c r="DE80" s="196">
        <f t="shared" si="849"/>
        <v>-0.0320346808606011</v>
      </c>
      <c r="DF80" s="196">
        <f t="shared" si="849"/>
        <v>-0.010373665889973</v>
      </c>
      <c r="DG80" s="196"/>
      <c r="DH80" s="196"/>
      <c r="DI80" s="67"/>
      <c r="DJ80" s="196"/>
      <c r="DK80" s="196"/>
      <c r="DL80" s="196"/>
      <c r="DM80" s="196"/>
      <c r="DN80" s="67"/>
      <c r="DO80" s="196"/>
      <c r="DP80" s="196"/>
      <c r="DQ80" s="196"/>
      <c r="DR80" s="196"/>
      <c r="DS80" s="67"/>
    </row>
    <row r="81" s="1" customFormat="1" spans="2:123">
      <c r="B81" s="174" t="s">
        <v>322</v>
      </c>
      <c r="C81" s="67"/>
      <c r="D81" s="196"/>
      <c r="E81" s="196"/>
      <c r="F81" s="196"/>
      <c r="G81" s="196"/>
      <c r="H81" s="67"/>
      <c r="I81" s="196"/>
      <c r="J81" s="196"/>
      <c r="K81" s="196"/>
      <c r="L81" s="196"/>
      <c r="M81" s="67"/>
      <c r="N81" s="196"/>
      <c r="O81" s="196"/>
      <c r="P81" s="196"/>
      <c r="Q81" s="196"/>
      <c r="R81" s="67"/>
      <c r="S81" s="196"/>
      <c r="T81" s="196"/>
      <c r="U81" s="196"/>
      <c r="V81" s="196"/>
      <c r="W81" s="67"/>
      <c r="X81" s="196"/>
      <c r="Y81" s="196"/>
      <c r="Z81" s="196"/>
      <c r="AA81" s="196"/>
      <c r="AB81" s="67"/>
      <c r="AC81" s="196"/>
      <c r="AD81" s="196"/>
      <c r="AE81" s="196"/>
      <c r="AF81" s="196"/>
      <c r="AG81" s="67"/>
      <c r="AH81" s="196"/>
      <c r="AI81" s="196"/>
      <c r="AJ81" s="196"/>
      <c r="AK81" s="196"/>
      <c r="AL81" s="67"/>
      <c r="AM81" s="196"/>
      <c r="AN81" s="196"/>
      <c r="AO81" s="196"/>
      <c r="AP81" s="196"/>
      <c r="AQ81" s="67"/>
      <c r="AR81" s="196"/>
      <c r="AS81" s="196"/>
      <c r="AT81" s="196"/>
      <c r="AU81" s="196"/>
      <c r="AV81" s="67"/>
      <c r="AW81" s="196"/>
      <c r="AX81" s="196"/>
      <c r="AY81" s="196"/>
      <c r="AZ81" s="196"/>
      <c r="BA81" s="67"/>
      <c r="BB81" s="196"/>
      <c r="BC81" s="196"/>
      <c r="BD81" s="196"/>
      <c r="BE81" s="196"/>
      <c r="BF81" s="67"/>
      <c r="BG81" s="196"/>
      <c r="BH81" s="196"/>
      <c r="BI81" s="196"/>
      <c r="BJ81" s="196"/>
      <c r="BK81" s="67"/>
      <c r="BL81" s="196"/>
      <c r="BM81" s="196"/>
      <c r="BN81" s="196"/>
      <c r="BO81" s="196"/>
      <c r="BP81" s="67"/>
      <c r="BQ81" s="196"/>
      <c r="BR81" s="196"/>
      <c r="BS81" s="196"/>
      <c r="BT81" s="196"/>
      <c r="BU81" s="67"/>
      <c r="BV81" s="196"/>
      <c r="BW81" s="196"/>
      <c r="BX81" s="196"/>
      <c r="BY81" s="196"/>
      <c r="BZ81" s="67"/>
      <c r="CA81" s="196"/>
      <c r="CB81" s="196"/>
      <c r="CC81" s="196"/>
      <c r="CD81" s="196"/>
      <c r="CE81" s="67"/>
      <c r="CF81" s="196"/>
      <c r="CG81" s="196"/>
      <c r="CH81" s="196"/>
      <c r="CI81" s="196"/>
      <c r="CJ81" s="67"/>
      <c r="CK81" s="196"/>
      <c r="CL81" s="196"/>
      <c r="CM81" s="196"/>
      <c r="CN81" s="196"/>
      <c r="CO81" s="67">
        <f>CO79/CO13</f>
        <v>0.561649453216182</v>
      </c>
      <c r="CP81" s="761" t="s">
        <v>208</v>
      </c>
      <c r="CQ81" s="761" t="s">
        <v>208</v>
      </c>
      <c r="CR81" s="761" t="s">
        <v>208</v>
      </c>
      <c r="CS81" s="761" t="s">
        <v>208</v>
      </c>
      <c r="CT81" s="67">
        <f t="shared" ref="CT81:DF81" si="851">CT79/CT13</f>
        <v>0.585606736804987</v>
      </c>
      <c r="CU81" s="196">
        <f t="shared" si="851"/>
        <v>0.577243512694832</v>
      </c>
      <c r="CV81" s="196">
        <f t="shared" si="851"/>
        <v>0.595587745320905</v>
      </c>
      <c r="CW81" s="196">
        <f t="shared" si="851"/>
        <v>0.584816369447481</v>
      </c>
      <c r="CX81" s="196">
        <f t="shared" si="851"/>
        <v>0.604168299184521</v>
      </c>
      <c r="CY81" s="67">
        <f t="shared" si="851"/>
        <v>0.592249374440765</v>
      </c>
      <c r="CZ81" s="196">
        <f t="shared" si="851"/>
        <v>0.583434992786819</v>
      </c>
      <c r="DA81" s="196">
        <f t="shared" si="851"/>
        <v>0.58497975819127</v>
      </c>
      <c r="DB81" s="196">
        <f t="shared" si="851"/>
        <v>0.555713350377253</v>
      </c>
      <c r="DC81" s="196">
        <f t="shared" si="851"/>
        <v>0.548749574612839</v>
      </c>
      <c r="DD81" s="67">
        <f t="shared" si="851"/>
        <v>0.566005440167168</v>
      </c>
      <c r="DE81" s="196">
        <f t="shared" si="851"/>
        <v>0.541680035183644</v>
      </c>
      <c r="DF81" s="196">
        <f t="shared" si="851"/>
        <v>0.605174383008001</v>
      </c>
      <c r="DG81" s="196"/>
      <c r="DH81" s="196"/>
      <c r="DI81" s="67"/>
      <c r="DJ81" s="196"/>
      <c r="DK81" s="196"/>
      <c r="DL81" s="196"/>
      <c r="DM81" s="196"/>
      <c r="DN81" s="67"/>
      <c r="DO81" s="196"/>
      <c r="DP81" s="196"/>
      <c r="DQ81" s="196"/>
      <c r="DR81" s="196"/>
      <c r="DS81" s="67"/>
    </row>
    <row r="82" spans="2:123">
      <c r="B82" s="144" t="s">
        <v>320</v>
      </c>
      <c r="C82" s="119"/>
      <c r="D82" s="120"/>
      <c r="E82" s="120"/>
      <c r="F82" s="120"/>
      <c r="G82" s="120"/>
      <c r="H82" s="119"/>
      <c r="I82" s="120"/>
      <c r="J82" s="120"/>
      <c r="K82" s="120"/>
      <c r="L82" s="120"/>
      <c r="M82" s="119"/>
      <c r="N82" s="120"/>
      <c r="O82" s="120"/>
      <c r="P82" s="120"/>
      <c r="Q82" s="120"/>
      <c r="R82" s="119"/>
      <c r="S82" s="120"/>
      <c r="T82" s="120"/>
      <c r="U82" s="120"/>
      <c r="V82" s="120"/>
      <c r="W82" s="119"/>
      <c r="X82" s="120"/>
      <c r="Y82" s="120"/>
      <c r="Z82" s="120"/>
      <c r="AA82" s="120"/>
      <c r="AB82" s="119"/>
      <c r="AC82" s="120"/>
      <c r="AD82" s="120"/>
      <c r="AE82" s="120"/>
      <c r="AF82" s="120"/>
      <c r="AG82" s="119"/>
      <c r="AH82" s="120"/>
      <c r="AI82" s="120"/>
      <c r="AJ82" s="120"/>
      <c r="AK82" s="120"/>
      <c r="AL82" s="119"/>
      <c r="AM82" s="120"/>
      <c r="AN82" s="120"/>
      <c r="AO82" s="120"/>
      <c r="AP82" s="120"/>
      <c r="AQ82" s="119"/>
      <c r="AR82" s="120"/>
      <c r="AS82" s="120"/>
      <c r="AT82" s="120"/>
      <c r="AU82" s="120"/>
      <c r="AV82" s="119"/>
      <c r="AW82" s="120"/>
      <c r="AX82" s="120"/>
      <c r="AY82" s="120"/>
      <c r="AZ82" s="120"/>
      <c r="BA82" s="119"/>
      <c r="BB82" s="120"/>
      <c r="BC82" s="120"/>
      <c r="BD82" s="120"/>
      <c r="BE82" s="120"/>
      <c r="BF82" s="119"/>
      <c r="BG82" s="120"/>
      <c r="BH82" s="120"/>
      <c r="BI82" s="120"/>
      <c r="BJ82" s="120"/>
      <c r="BK82" s="119"/>
      <c r="BL82" s="120"/>
      <c r="BM82" s="120"/>
      <c r="BN82" s="120"/>
      <c r="BO82" s="120"/>
      <c r="BP82" s="119"/>
      <c r="BQ82" s="120"/>
      <c r="BR82" s="120"/>
      <c r="BS82" s="120"/>
      <c r="BT82" s="120"/>
      <c r="BU82" s="119"/>
      <c r="BV82" s="120"/>
      <c r="BW82" s="120"/>
      <c r="BX82" s="120"/>
      <c r="BY82" s="120"/>
      <c r="BZ82" s="119"/>
      <c r="CA82" s="120"/>
      <c r="CB82" s="120"/>
      <c r="CC82" s="120"/>
      <c r="CD82" s="120"/>
      <c r="CE82" s="119"/>
      <c r="CF82" s="120"/>
      <c r="CG82" s="120"/>
      <c r="CH82" s="120"/>
      <c r="CI82" s="120"/>
      <c r="CJ82" s="119"/>
      <c r="CK82" s="120"/>
      <c r="CL82" s="120"/>
      <c r="CM82" s="120"/>
      <c r="CN82" s="120"/>
      <c r="CO82" s="763" t="s">
        <v>208</v>
      </c>
      <c r="CP82" s="761" t="s">
        <v>208</v>
      </c>
      <c r="CQ82" s="761" t="s">
        <v>208</v>
      </c>
      <c r="CR82" s="761" t="s">
        <v>208</v>
      </c>
      <c r="CS82" s="761" t="s">
        <v>208</v>
      </c>
      <c r="CT82" s="223">
        <f>(CT81-CO81)*100*100</f>
        <v>239.572835888049</v>
      </c>
      <c r="CU82" s="761" t="s">
        <v>208</v>
      </c>
      <c r="CV82" s="761" t="s">
        <v>208</v>
      </c>
      <c r="CW82" s="761" t="s">
        <v>208</v>
      </c>
      <c r="CX82" s="761" t="s">
        <v>208</v>
      </c>
      <c r="CY82" s="223">
        <f>(CY81-CT81)*100*100</f>
        <v>66.4263763577821</v>
      </c>
      <c r="CZ82" s="224">
        <f t="shared" ref="CZ82" si="852">(CZ81-CU81)*100*100</f>
        <v>61.9148009198689</v>
      </c>
      <c r="DA82" s="224">
        <f t="shared" ref="DA82:DD82" si="853">(DA81-CV81)*100*100</f>
        <v>-106.07987129635</v>
      </c>
      <c r="DB82" s="224">
        <f t="shared" si="853"/>
        <v>-291.030190702285</v>
      </c>
      <c r="DC82" s="228">
        <f t="shared" si="853"/>
        <v>-554.187245716817</v>
      </c>
      <c r="DD82" s="223">
        <f t="shared" si="853"/>
        <v>-262.439342735969</v>
      </c>
      <c r="DE82" s="224">
        <f t="shared" ref="DE82:DF82" si="854">(DE81-CZ81)*100*100</f>
        <v>-417.549576031748</v>
      </c>
      <c r="DF82" s="224">
        <f t="shared" si="854"/>
        <v>201.946248167312</v>
      </c>
      <c r="DG82" s="224"/>
      <c r="DH82" s="224"/>
      <c r="DI82" s="223"/>
      <c r="DJ82" s="224"/>
      <c r="DK82" s="224"/>
      <c r="DL82" s="224"/>
      <c r="DM82" s="224"/>
      <c r="DN82" s="223"/>
      <c r="DO82" s="224"/>
      <c r="DP82" s="224"/>
      <c r="DQ82" s="224"/>
      <c r="DR82" s="224"/>
      <c r="DS82" s="223"/>
    </row>
    <row r="83" spans="2:123">
      <c r="B83" s="33"/>
      <c r="C83" s="119"/>
      <c r="D83" s="120"/>
      <c r="E83" s="120"/>
      <c r="F83" s="120"/>
      <c r="G83" s="120"/>
      <c r="H83" s="119"/>
      <c r="I83" s="120"/>
      <c r="J83" s="120"/>
      <c r="K83" s="120"/>
      <c r="L83" s="120"/>
      <c r="M83" s="119"/>
      <c r="N83" s="120"/>
      <c r="O83" s="120"/>
      <c r="P83" s="120"/>
      <c r="Q83" s="120"/>
      <c r="R83" s="119"/>
      <c r="S83" s="120"/>
      <c r="T83" s="120"/>
      <c r="U83" s="120"/>
      <c r="V83" s="120"/>
      <c r="W83" s="119"/>
      <c r="X83" s="120"/>
      <c r="Y83" s="120"/>
      <c r="Z83" s="120"/>
      <c r="AA83" s="120"/>
      <c r="AB83" s="119"/>
      <c r="AC83" s="120"/>
      <c r="AD83" s="120"/>
      <c r="AE83" s="120"/>
      <c r="AF83" s="120"/>
      <c r="AG83" s="119"/>
      <c r="AH83" s="120"/>
      <c r="AI83" s="120"/>
      <c r="AJ83" s="120"/>
      <c r="AK83" s="120"/>
      <c r="AL83" s="119"/>
      <c r="AM83" s="120"/>
      <c r="AN83" s="120"/>
      <c r="AO83" s="120"/>
      <c r="AP83" s="120"/>
      <c r="AQ83" s="119"/>
      <c r="AR83" s="120"/>
      <c r="AS83" s="120"/>
      <c r="AT83" s="120"/>
      <c r="AU83" s="120"/>
      <c r="AV83" s="119"/>
      <c r="AW83" s="120"/>
      <c r="AX83" s="120"/>
      <c r="AY83" s="120"/>
      <c r="AZ83" s="120"/>
      <c r="BA83" s="119"/>
      <c r="BB83" s="120"/>
      <c r="BC83" s="120"/>
      <c r="BD83" s="120"/>
      <c r="BE83" s="120"/>
      <c r="BF83" s="119"/>
      <c r="BG83" s="120"/>
      <c r="BH83" s="120"/>
      <c r="BI83" s="120"/>
      <c r="BJ83" s="120"/>
      <c r="BK83" s="119"/>
      <c r="BL83" s="120"/>
      <c r="BM83" s="120"/>
      <c r="BN83" s="120"/>
      <c r="BO83" s="120"/>
      <c r="BP83" s="119"/>
      <c r="BQ83" s="120"/>
      <c r="BR83" s="120"/>
      <c r="BS83" s="120"/>
      <c r="BT83" s="120"/>
      <c r="BU83" s="119"/>
      <c r="BV83" s="120"/>
      <c r="BW83" s="120"/>
      <c r="BX83" s="120"/>
      <c r="BY83" s="120"/>
      <c r="BZ83" s="119"/>
      <c r="CA83" s="120"/>
      <c r="CB83" s="120"/>
      <c r="CC83" s="120"/>
      <c r="CD83" s="120"/>
      <c r="CE83" s="119"/>
      <c r="CF83" s="120"/>
      <c r="CG83" s="120"/>
      <c r="CH83" s="120"/>
      <c r="CI83" s="120"/>
      <c r="CJ83" s="119"/>
      <c r="CK83" s="120"/>
      <c r="CL83" s="120"/>
      <c r="CM83" s="120"/>
      <c r="CN83" s="120"/>
      <c r="CO83" s="119"/>
      <c r="CP83" s="120"/>
      <c r="CQ83" s="120"/>
      <c r="CR83" s="120"/>
      <c r="CS83" s="120"/>
      <c r="CT83" s="119"/>
      <c r="CU83" s="120"/>
      <c r="CV83" s="120"/>
      <c r="CW83" s="120"/>
      <c r="CX83" s="120"/>
      <c r="CY83" s="119"/>
      <c r="CZ83" s="120"/>
      <c r="DA83" s="120"/>
      <c r="DB83" s="120"/>
      <c r="DC83" s="120"/>
      <c r="DD83" s="119"/>
      <c r="DE83" s="120"/>
      <c r="DF83" s="120"/>
      <c r="DG83" s="120"/>
      <c r="DH83" s="120"/>
      <c r="DI83" s="119"/>
      <c r="DJ83" s="120"/>
      <c r="DK83" s="120"/>
      <c r="DL83" s="120"/>
      <c r="DM83" s="120"/>
      <c r="DN83" s="119"/>
      <c r="DO83" s="120"/>
      <c r="DP83" s="120"/>
      <c r="DQ83" s="120"/>
      <c r="DR83" s="120"/>
      <c r="DS83" s="119"/>
    </row>
    <row r="84" s="89" customFormat="1" spans="2:123">
      <c r="B84" s="227" t="s">
        <v>323</v>
      </c>
      <c r="C84" s="131"/>
      <c r="D84" s="132"/>
      <c r="E84" s="132"/>
      <c r="F84" s="132"/>
      <c r="G84" s="132"/>
      <c r="H84" s="131"/>
      <c r="I84" s="132"/>
      <c r="J84" s="132"/>
      <c r="K84" s="132"/>
      <c r="L84" s="132"/>
      <c r="M84" s="131"/>
      <c r="N84" s="132"/>
      <c r="O84" s="132"/>
      <c r="P84" s="132"/>
      <c r="Q84" s="132"/>
      <c r="R84" s="131"/>
      <c r="S84" s="132"/>
      <c r="T84" s="132"/>
      <c r="U84" s="132"/>
      <c r="V84" s="132"/>
      <c r="W84" s="131"/>
      <c r="X84" s="132"/>
      <c r="Y84" s="132"/>
      <c r="Z84" s="132"/>
      <c r="AA84" s="132"/>
      <c r="AB84" s="131"/>
      <c r="AC84" s="132"/>
      <c r="AD84" s="132"/>
      <c r="AE84" s="132"/>
      <c r="AF84" s="132"/>
      <c r="AG84" s="131"/>
      <c r="AH84" s="132"/>
      <c r="AI84" s="132"/>
      <c r="AJ84" s="132"/>
      <c r="AK84" s="132"/>
      <c r="AL84" s="131"/>
      <c r="AM84" s="132"/>
      <c r="AN84" s="132"/>
      <c r="AO84" s="132"/>
      <c r="AP84" s="132"/>
      <c r="AQ84" s="131"/>
      <c r="AR84" s="132"/>
      <c r="AS84" s="132"/>
      <c r="AT84" s="132"/>
      <c r="AU84" s="132"/>
      <c r="AV84" s="131"/>
      <c r="AW84" s="132"/>
      <c r="AX84" s="132"/>
      <c r="AY84" s="132"/>
      <c r="AZ84" s="132"/>
      <c r="BA84" s="131"/>
      <c r="BB84" s="132"/>
      <c r="BC84" s="132"/>
      <c r="BD84" s="132"/>
      <c r="BE84" s="132"/>
      <c r="BF84" s="131"/>
      <c r="BG84" s="132"/>
      <c r="BH84" s="132"/>
      <c r="BI84" s="132"/>
      <c r="BJ84" s="132"/>
      <c r="BK84" s="131"/>
      <c r="BL84" s="132"/>
      <c r="BM84" s="132"/>
      <c r="BN84" s="132"/>
      <c r="BO84" s="132"/>
      <c r="BP84" s="131"/>
      <c r="BQ84" s="132"/>
      <c r="BR84" s="132"/>
      <c r="BS84" s="132"/>
      <c r="BT84" s="132"/>
      <c r="BU84" s="131"/>
      <c r="BV84" s="132"/>
      <c r="BW84" s="132"/>
      <c r="BX84" s="132"/>
      <c r="BY84" s="132"/>
      <c r="BZ84" s="131"/>
      <c r="CA84" s="132"/>
      <c r="CB84" s="132"/>
      <c r="CC84" s="132"/>
      <c r="CD84" s="132"/>
      <c r="CE84" s="131"/>
      <c r="CF84" s="132"/>
      <c r="CG84" s="132"/>
      <c r="CH84" s="132"/>
      <c r="CI84" s="132"/>
      <c r="CJ84" s="131"/>
      <c r="CK84" s="132"/>
      <c r="CL84" s="132"/>
      <c r="CM84" s="132"/>
      <c r="CN84" s="132"/>
      <c r="CO84" s="131">
        <f>CO208+CO267+CO346+CO368</f>
        <v>-2757.447</v>
      </c>
      <c r="CP84" s="761" t="s">
        <v>208</v>
      </c>
      <c r="CQ84" s="761" t="s">
        <v>208</v>
      </c>
      <c r="CR84" s="761" t="s">
        <v>208</v>
      </c>
      <c r="CS84" s="761" t="s">
        <v>208</v>
      </c>
      <c r="CT84" s="131">
        <f t="shared" ref="CT84:DF84" si="855">CT208+CT267+CT346+CT368</f>
        <v>-3397.218</v>
      </c>
      <c r="CU84" s="132">
        <f t="shared" si="855"/>
        <v>-842.426</v>
      </c>
      <c r="CV84" s="132">
        <f t="shared" si="855"/>
        <v>-871.959</v>
      </c>
      <c r="CW84" s="132">
        <f t="shared" si="855"/>
        <v>-909.827</v>
      </c>
      <c r="CX84" s="132">
        <f t="shared" si="855"/>
        <v>-1138.167</v>
      </c>
      <c r="CY84" s="131">
        <f t="shared" si="855"/>
        <v>-3762.379</v>
      </c>
      <c r="CZ84" s="132">
        <f t="shared" si="855"/>
        <v>-942.871</v>
      </c>
      <c r="DA84" s="132">
        <f t="shared" si="855"/>
        <v>-951.658</v>
      </c>
      <c r="DB84" s="132">
        <f t="shared" si="855"/>
        <v>-988.254</v>
      </c>
      <c r="DC84" s="132">
        <f t="shared" si="855"/>
        <v>-1183.773</v>
      </c>
      <c r="DD84" s="131">
        <f t="shared" si="855"/>
        <v>-4066.556</v>
      </c>
      <c r="DE84" s="132">
        <f t="shared" si="855"/>
        <v>-1059.988</v>
      </c>
      <c r="DF84" s="132">
        <f t="shared" si="855"/>
        <v>-1006.332</v>
      </c>
      <c r="DG84" s="132"/>
      <c r="DH84" s="132"/>
      <c r="DI84" s="131"/>
      <c r="DJ84" s="132"/>
      <c r="DK84" s="132"/>
      <c r="DL84" s="132"/>
      <c r="DM84" s="132"/>
      <c r="DN84" s="131"/>
      <c r="DO84" s="132"/>
      <c r="DP84" s="132"/>
      <c r="DQ84" s="132"/>
      <c r="DR84" s="132"/>
      <c r="DS84" s="131"/>
    </row>
    <row r="85" s="1" customFormat="1" spans="2:123">
      <c r="B85" s="174" t="s">
        <v>307</v>
      </c>
      <c r="C85" s="67"/>
      <c r="D85" s="196"/>
      <c r="E85" s="196"/>
      <c r="F85" s="196"/>
      <c r="G85" s="196"/>
      <c r="H85" s="67"/>
      <c r="I85" s="196"/>
      <c r="J85" s="196"/>
      <c r="K85" s="196"/>
      <c r="L85" s="196"/>
      <c r="M85" s="67"/>
      <c r="N85" s="196"/>
      <c r="O85" s="196"/>
      <c r="P85" s="196"/>
      <c r="Q85" s="196"/>
      <c r="R85" s="67"/>
      <c r="S85" s="196"/>
      <c r="T85" s="196"/>
      <c r="U85" s="196"/>
      <c r="V85" s="196"/>
      <c r="W85" s="67"/>
      <c r="X85" s="196"/>
      <c r="Y85" s="196"/>
      <c r="Z85" s="196"/>
      <c r="AA85" s="196"/>
      <c r="AB85" s="67"/>
      <c r="AC85" s="196"/>
      <c r="AD85" s="196"/>
      <c r="AE85" s="196"/>
      <c r="AF85" s="196"/>
      <c r="AG85" s="67"/>
      <c r="AH85" s="196"/>
      <c r="AI85" s="196"/>
      <c r="AJ85" s="196"/>
      <c r="AK85" s="196"/>
      <c r="AL85" s="67"/>
      <c r="AM85" s="196"/>
      <c r="AN85" s="196"/>
      <c r="AO85" s="196"/>
      <c r="AP85" s="196"/>
      <c r="AQ85" s="67"/>
      <c r="AR85" s="196"/>
      <c r="AS85" s="196"/>
      <c r="AT85" s="196"/>
      <c r="AU85" s="196"/>
      <c r="AV85" s="67"/>
      <c r="AW85" s="196"/>
      <c r="AX85" s="196"/>
      <c r="AY85" s="196"/>
      <c r="AZ85" s="196"/>
      <c r="BA85" s="67"/>
      <c r="BB85" s="196"/>
      <c r="BC85" s="196"/>
      <c r="BD85" s="196"/>
      <c r="BE85" s="196"/>
      <c r="BF85" s="67"/>
      <c r="BG85" s="196"/>
      <c r="BH85" s="196"/>
      <c r="BI85" s="196"/>
      <c r="BJ85" s="196"/>
      <c r="BK85" s="67"/>
      <c r="BL85" s="196"/>
      <c r="BM85" s="196"/>
      <c r="BN85" s="196"/>
      <c r="BO85" s="196"/>
      <c r="BP85" s="67"/>
      <c r="BQ85" s="196"/>
      <c r="BR85" s="196"/>
      <c r="BS85" s="196"/>
      <c r="BT85" s="196"/>
      <c r="BU85" s="67"/>
      <c r="BV85" s="196"/>
      <c r="BW85" s="196"/>
      <c r="BX85" s="196"/>
      <c r="BY85" s="196"/>
      <c r="BZ85" s="67"/>
      <c r="CA85" s="196"/>
      <c r="CB85" s="196"/>
      <c r="CC85" s="196"/>
      <c r="CD85" s="196"/>
      <c r="CE85" s="67"/>
      <c r="CF85" s="196"/>
      <c r="CG85" s="196"/>
      <c r="CH85" s="196"/>
      <c r="CI85" s="196"/>
      <c r="CJ85" s="67"/>
      <c r="CK85" s="196"/>
      <c r="CL85" s="196"/>
      <c r="CM85" s="196"/>
      <c r="CN85" s="196"/>
      <c r="CO85" s="763" t="s">
        <v>208</v>
      </c>
      <c r="CP85" s="761" t="s">
        <v>208</v>
      </c>
      <c r="CQ85" s="761" t="s">
        <v>208</v>
      </c>
      <c r="CR85" s="761" t="s">
        <v>208</v>
      </c>
      <c r="CS85" s="761" t="s">
        <v>208</v>
      </c>
      <c r="CT85" s="67">
        <f>CT84/CO84-1</f>
        <v>0.232015701480391</v>
      </c>
      <c r="CU85" s="761" t="s">
        <v>208</v>
      </c>
      <c r="CV85" s="761" t="s">
        <v>208</v>
      </c>
      <c r="CW85" s="761" t="s">
        <v>208</v>
      </c>
      <c r="CX85" s="761" t="s">
        <v>208</v>
      </c>
      <c r="CY85" s="67">
        <f t="shared" ref="CY85:DF85" si="856">CY84/CT84-1</f>
        <v>0.10748824479324</v>
      </c>
      <c r="CZ85" s="196">
        <f t="shared" si="856"/>
        <v>0.119233024621748</v>
      </c>
      <c r="DA85" s="196">
        <f t="shared" si="856"/>
        <v>0.09140223336189</v>
      </c>
      <c r="DB85" s="196">
        <f t="shared" si="856"/>
        <v>0.0861999039377817</v>
      </c>
      <c r="DC85" s="226">
        <f t="shared" si="856"/>
        <v>0.0400696910031659</v>
      </c>
      <c r="DD85" s="67">
        <f t="shared" ref="DD85" si="857">DD84/CY84-1</f>
        <v>0.0808469853781342</v>
      </c>
      <c r="DE85" s="196">
        <f t="shared" si="856"/>
        <v>0.124213174442739</v>
      </c>
      <c r="DF85" s="196">
        <f t="shared" si="856"/>
        <v>0.0574513112904005</v>
      </c>
      <c r="DG85" s="196"/>
      <c r="DH85" s="196"/>
      <c r="DI85" s="67"/>
      <c r="DJ85" s="196"/>
      <c r="DK85" s="196"/>
      <c r="DL85" s="196"/>
      <c r="DM85" s="196"/>
      <c r="DN85" s="67"/>
      <c r="DO85" s="196"/>
      <c r="DP85" s="196"/>
      <c r="DQ85" s="196"/>
      <c r="DR85" s="196"/>
      <c r="DS85" s="67"/>
    </row>
    <row r="86" s="1" customFormat="1" spans="2:123">
      <c r="B86" s="174" t="s">
        <v>186</v>
      </c>
      <c r="C86" s="67"/>
      <c r="D86" s="196"/>
      <c r="E86" s="196"/>
      <c r="F86" s="196"/>
      <c r="G86" s="196"/>
      <c r="H86" s="67"/>
      <c r="I86" s="196"/>
      <c r="J86" s="196"/>
      <c r="K86" s="196"/>
      <c r="L86" s="196"/>
      <c r="M86" s="67"/>
      <c r="N86" s="196"/>
      <c r="O86" s="196"/>
      <c r="P86" s="196"/>
      <c r="Q86" s="196"/>
      <c r="R86" s="67"/>
      <c r="S86" s="196"/>
      <c r="T86" s="196"/>
      <c r="U86" s="196"/>
      <c r="V86" s="196"/>
      <c r="W86" s="67"/>
      <c r="X86" s="196"/>
      <c r="Y86" s="196"/>
      <c r="Z86" s="196"/>
      <c r="AA86" s="196"/>
      <c r="AB86" s="67"/>
      <c r="AC86" s="196"/>
      <c r="AD86" s="196"/>
      <c r="AE86" s="196"/>
      <c r="AF86" s="196"/>
      <c r="AG86" s="67"/>
      <c r="AH86" s="196"/>
      <c r="AI86" s="196"/>
      <c r="AJ86" s="196"/>
      <c r="AK86" s="196"/>
      <c r="AL86" s="67"/>
      <c r="AM86" s="196"/>
      <c r="AN86" s="196"/>
      <c r="AO86" s="196"/>
      <c r="AP86" s="196"/>
      <c r="AQ86" s="67"/>
      <c r="AR86" s="196"/>
      <c r="AS86" s="196"/>
      <c r="AT86" s="196"/>
      <c r="AU86" s="196"/>
      <c r="AV86" s="67"/>
      <c r="AW86" s="196"/>
      <c r="AX86" s="196"/>
      <c r="AY86" s="196"/>
      <c r="AZ86" s="196"/>
      <c r="BA86" s="67"/>
      <c r="BB86" s="196"/>
      <c r="BC86" s="196"/>
      <c r="BD86" s="196"/>
      <c r="BE86" s="196"/>
      <c r="BF86" s="67"/>
      <c r="BG86" s="196"/>
      <c r="BH86" s="196"/>
      <c r="BI86" s="196"/>
      <c r="BJ86" s="196"/>
      <c r="BK86" s="67"/>
      <c r="BL86" s="196"/>
      <c r="BM86" s="196"/>
      <c r="BN86" s="196"/>
      <c r="BO86" s="196"/>
      <c r="BP86" s="67"/>
      <c r="BQ86" s="196"/>
      <c r="BR86" s="196"/>
      <c r="BS86" s="196"/>
      <c r="BT86" s="196"/>
      <c r="BU86" s="67"/>
      <c r="BV86" s="196"/>
      <c r="BW86" s="196"/>
      <c r="BX86" s="196"/>
      <c r="BY86" s="196"/>
      <c r="BZ86" s="67"/>
      <c r="CA86" s="196"/>
      <c r="CB86" s="196"/>
      <c r="CC86" s="196"/>
      <c r="CD86" s="196"/>
      <c r="CE86" s="67"/>
      <c r="CF86" s="196"/>
      <c r="CG86" s="196"/>
      <c r="CH86" s="196"/>
      <c r="CI86" s="196"/>
      <c r="CJ86" s="67"/>
      <c r="CK86" s="196"/>
      <c r="CL86" s="196"/>
      <c r="CM86" s="196"/>
      <c r="CN86" s="196"/>
      <c r="CO86" s="67">
        <f>-CO84/CO13</f>
        <v>0.339984079931763</v>
      </c>
      <c r="CP86" s="761" t="s">
        <v>208</v>
      </c>
      <c r="CQ86" s="761" t="s">
        <v>208</v>
      </c>
      <c r="CR86" s="761" t="s">
        <v>208</v>
      </c>
      <c r="CS86" s="761" t="s">
        <v>208</v>
      </c>
      <c r="CT86" s="67">
        <f t="shared" ref="CT86:DF86" si="858">-CT84/CT13</f>
        <v>0.353167670172335</v>
      </c>
      <c r="CU86" s="196">
        <f t="shared" si="858"/>
        <v>0.381379615381655</v>
      </c>
      <c r="CV86" s="196">
        <f t="shared" si="858"/>
        <v>0.367747918879092</v>
      </c>
      <c r="CW86" s="196">
        <f t="shared" si="858"/>
        <v>0.379622891857835</v>
      </c>
      <c r="CX86" s="196">
        <f t="shared" si="858"/>
        <v>0.315151030168376</v>
      </c>
      <c r="CY86" s="67">
        <f t="shared" si="858"/>
        <v>0.355339462337339</v>
      </c>
      <c r="CZ86" s="196">
        <f t="shared" si="858"/>
        <v>0.3977251060886</v>
      </c>
      <c r="DA86" s="196">
        <f t="shared" si="858"/>
        <v>0.376861571214219</v>
      </c>
      <c r="DB86" s="196">
        <f t="shared" si="858"/>
        <v>0.385146068466671</v>
      </c>
      <c r="DC86" s="196">
        <f t="shared" si="858"/>
        <v>0.325140813793448</v>
      </c>
      <c r="DD86" s="67">
        <f t="shared" si="858"/>
        <v>0.366270603282114</v>
      </c>
      <c r="DE86" s="196">
        <f t="shared" si="858"/>
        <v>0.428866610050239</v>
      </c>
      <c r="DF86" s="196">
        <f t="shared" si="858"/>
        <v>0.416591772501678</v>
      </c>
      <c r="DG86" s="196"/>
      <c r="DH86" s="196"/>
      <c r="DI86" s="67"/>
      <c r="DJ86" s="196"/>
      <c r="DK86" s="196"/>
      <c r="DL86" s="196"/>
      <c r="DM86" s="196"/>
      <c r="DN86" s="67"/>
      <c r="DO86" s="196"/>
      <c r="DP86" s="196"/>
      <c r="DQ86" s="196"/>
      <c r="DR86" s="196"/>
      <c r="DS86" s="67"/>
    </row>
    <row r="87" spans="2:123">
      <c r="B87" s="144" t="s">
        <v>320</v>
      </c>
      <c r="C87" s="119"/>
      <c r="D87" s="120"/>
      <c r="E87" s="120"/>
      <c r="F87" s="120"/>
      <c r="G87" s="120"/>
      <c r="H87" s="119"/>
      <c r="I87" s="120"/>
      <c r="J87" s="120"/>
      <c r="K87" s="120"/>
      <c r="L87" s="120"/>
      <c r="M87" s="119"/>
      <c r="N87" s="120"/>
      <c r="O87" s="120"/>
      <c r="P87" s="120"/>
      <c r="Q87" s="120"/>
      <c r="R87" s="119"/>
      <c r="S87" s="120"/>
      <c r="T87" s="120"/>
      <c r="U87" s="120"/>
      <c r="V87" s="120"/>
      <c r="W87" s="119"/>
      <c r="X87" s="120"/>
      <c r="Y87" s="120"/>
      <c r="Z87" s="120"/>
      <c r="AA87" s="120"/>
      <c r="AB87" s="119"/>
      <c r="AC87" s="120"/>
      <c r="AD87" s="120"/>
      <c r="AE87" s="120"/>
      <c r="AF87" s="120"/>
      <c r="AG87" s="119"/>
      <c r="AH87" s="120"/>
      <c r="AI87" s="120"/>
      <c r="AJ87" s="120"/>
      <c r="AK87" s="120"/>
      <c r="AL87" s="119"/>
      <c r="AM87" s="120"/>
      <c r="AN87" s="120"/>
      <c r="AO87" s="120"/>
      <c r="AP87" s="120"/>
      <c r="AQ87" s="119"/>
      <c r="AR87" s="120"/>
      <c r="AS87" s="120"/>
      <c r="AT87" s="120"/>
      <c r="AU87" s="120"/>
      <c r="AV87" s="119"/>
      <c r="AW87" s="120"/>
      <c r="AX87" s="120"/>
      <c r="AY87" s="120"/>
      <c r="AZ87" s="120"/>
      <c r="BA87" s="119"/>
      <c r="BB87" s="120"/>
      <c r="BC87" s="120"/>
      <c r="BD87" s="120"/>
      <c r="BE87" s="120"/>
      <c r="BF87" s="119"/>
      <c r="BG87" s="120"/>
      <c r="BH87" s="120"/>
      <c r="BI87" s="120"/>
      <c r="BJ87" s="120"/>
      <c r="BK87" s="119"/>
      <c r="BL87" s="120"/>
      <c r="BM87" s="120"/>
      <c r="BN87" s="120"/>
      <c r="BO87" s="120"/>
      <c r="BP87" s="119"/>
      <c r="BQ87" s="120"/>
      <c r="BR87" s="120"/>
      <c r="BS87" s="120"/>
      <c r="BT87" s="120"/>
      <c r="BU87" s="119"/>
      <c r="BV87" s="120"/>
      <c r="BW87" s="120"/>
      <c r="BX87" s="120"/>
      <c r="BY87" s="120"/>
      <c r="BZ87" s="119"/>
      <c r="CA87" s="120"/>
      <c r="CB87" s="120"/>
      <c r="CC87" s="120"/>
      <c r="CD87" s="120"/>
      <c r="CE87" s="119"/>
      <c r="CF87" s="120"/>
      <c r="CG87" s="120"/>
      <c r="CH87" s="120"/>
      <c r="CI87" s="120"/>
      <c r="CJ87" s="119"/>
      <c r="CK87" s="120"/>
      <c r="CL87" s="120"/>
      <c r="CM87" s="120"/>
      <c r="CN87" s="120"/>
      <c r="CO87" s="763" t="s">
        <v>208</v>
      </c>
      <c r="CP87" s="761" t="s">
        <v>208</v>
      </c>
      <c r="CQ87" s="761" t="s">
        <v>208</v>
      </c>
      <c r="CR87" s="761" t="s">
        <v>208</v>
      </c>
      <c r="CS87" s="761" t="s">
        <v>208</v>
      </c>
      <c r="CT87" s="223">
        <f>(CT86-CO86)*100*100</f>
        <v>131.835902405725</v>
      </c>
      <c r="CU87" s="761" t="s">
        <v>208</v>
      </c>
      <c r="CV87" s="761" t="s">
        <v>208</v>
      </c>
      <c r="CW87" s="761" t="s">
        <v>208</v>
      </c>
      <c r="CX87" s="761" t="s">
        <v>208</v>
      </c>
      <c r="CY87" s="223">
        <f t="shared" ref="CY87:DF87" si="859">(CY86-CT86)*100*100</f>
        <v>21.7179216500374</v>
      </c>
      <c r="CZ87" s="224">
        <f t="shared" si="859"/>
        <v>163.454907069447</v>
      </c>
      <c r="DA87" s="224">
        <f t="shared" si="859"/>
        <v>91.136523351274</v>
      </c>
      <c r="DB87" s="224">
        <f t="shared" si="859"/>
        <v>55.2317660883539</v>
      </c>
      <c r="DC87" s="228">
        <f t="shared" si="859"/>
        <v>99.8978362507208</v>
      </c>
      <c r="DD87" s="223">
        <f t="shared" ref="DD87" si="860">(DD86-CY86)*100*100</f>
        <v>109.31140944775</v>
      </c>
      <c r="DE87" s="224">
        <f t="shared" si="859"/>
        <v>311.415039616388</v>
      </c>
      <c r="DF87" s="224">
        <f t="shared" si="859"/>
        <v>397.302012874582</v>
      </c>
      <c r="DG87" s="224"/>
      <c r="DH87" s="224"/>
      <c r="DI87" s="223"/>
      <c r="DJ87" s="224"/>
      <c r="DK87" s="224"/>
      <c r="DL87" s="224"/>
      <c r="DM87" s="224"/>
      <c r="DN87" s="223"/>
      <c r="DO87" s="224"/>
      <c r="DP87" s="224"/>
      <c r="DQ87" s="224"/>
      <c r="DR87" s="224"/>
      <c r="DS87" s="223"/>
    </row>
    <row r="88" spans="2:123">
      <c r="B88" s="33"/>
      <c r="C88" s="119"/>
      <c r="D88" s="120"/>
      <c r="E88" s="120"/>
      <c r="F88" s="120"/>
      <c r="G88" s="120"/>
      <c r="H88" s="119"/>
      <c r="I88" s="120"/>
      <c r="J88" s="120"/>
      <c r="K88" s="120"/>
      <c r="L88" s="120"/>
      <c r="M88" s="119"/>
      <c r="N88" s="120"/>
      <c r="O88" s="120"/>
      <c r="P88" s="120"/>
      <c r="Q88" s="120"/>
      <c r="R88" s="119"/>
      <c r="S88" s="120"/>
      <c r="T88" s="120"/>
      <c r="U88" s="120"/>
      <c r="V88" s="120"/>
      <c r="W88" s="119"/>
      <c r="X88" s="120"/>
      <c r="Y88" s="120"/>
      <c r="Z88" s="120"/>
      <c r="AA88" s="120"/>
      <c r="AB88" s="119"/>
      <c r="AC88" s="120"/>
      <c r="AD88" s="120"/>
      <c r="AE88" s="120"/>
      <c r="AF88" s="120"/>
      <c r="AG88" s="119"/>
      <c r="AH88" s="120"/>
      <c r="AI88" s="120"/>
      <c r="AJ88" s="120"/>
      <c r="AK88" s="120"/>
      <c r="AL88" s="119"/>
      <c r="AM88" s="120"/>
      <c r="AN88" s="120"/>
      <c r="AO88" s="120"/>
      <c r="AP88" s="120"/>
      <c r="AQ88" s="119"/>
      <c r="AR88" s="120"/>
      <c r="AS88" s="120"/>
      <c r="AT88" s="120"/>
      <c r="AU88" s="120"/>
      <c r="AV88" s="119"/>
      <c r="AW88" s="120"/>
      <c r="AX88" s="120"/>
      <c r="AY88" s="120"/>
      <c r="AZ88" s="120"/>
      <c r="BA88" s="119"/>
      <c r="BB88" s="120"/>
      <c r="BC88" s="120"/>
      <c r="BD88" s="120"/>
      <c r="BE88" s="120"/>
      <c r="BF88" s="119"/>
      <c r="BG88" s="120"/>
      <c r="BH88" s="120"/>
      <c r="BI88" s="120"/>
      <c r="BJ88" s="120"/>
      <c r="BK88" s="119"/>
      <c r="BL88" s="120"/>
      <c r="BM88" s="120"/>
      <c r="BN88" s="120"/>
      <c r="BO88" s="120"/>
      <c r="BP88" s="119"/>
      <c r="BQ88" s="120"/>
      <c r="BR88" s="120"/>
      <c r="BS88" s="120"/>
      <c r="BT88" s="120"/>
      <c r="BU88" s="119"/>
      <c r="BV88" s="120"/>
      <c r="BW88" s="120"/>
      <c r="BX88" s="120"/>
      <c r="BY88" s="120"/>
      <c r="BZ88" s="119"/>
      <c r="CA88" s="120"/>
      <c r="CB88" s="120"/>
      <c r="CC88" s="120"/>
      <c r="CD88" s="120"/>
      <c r="CE88" s="119"/>
      <c r="CF88" s="120"/>
      <c r="CG88" s="120"/>
      <c r="CH88" s="120"/>
      <c r="CI88" s="120"/>
      <c r="CJ88" s="119"/>
      <c r="CK88" s="120"/>
      <c r="CL88" s="120"/>
      <c r="CM88" s="120"/>
      <c r="CN88" s="120"/>
      <c r="CO88" s="119"/>
      <c r="CP88" s="120"/>
      <c r="CQ88" s="120"/>
      <c r="CR88" s="120"/>
      <c r="CS88" s="120"/>
      <c r="CT88" s="119"/>
      <c r="CU88" s="120"/>
      <c r="CV88" s="120"/>
      <c r="CW88" s="120"/>
      <c r="CX88" s="120"/>
      <c r="CY88" s="119"/>
      <c r="CZ88" s="120"/>
      <c r="DA88" s="120"/>
      <c r="DB88" s="120"/>
      <c r="DC88" s="120"/>
      <c r="DD88" s="119"/>
      <c r="DE88" s="120"/>
      <c r="DF88" s="120"/>
      <c r="DG88" s="120"/>
      <c r="DH88" s="120"/>
      <c r="DI88" s="119"/>
      <c r="DJ88" s="120"/>
      <c r="DK88" s="120"/>
      <c r="DL88" s="120"/>
      <c r="DM88" s="120"/>
      <c r="DN88" s="119"/>
      <c r="DO88" s="120"/>
      <c r="DP88" s="120"/>
      <c r="DQ88" s="120"/>
      <c r="DR88" s="120"/>
      <c r="DS88" s="119"/>
    </row>
    <row r="89" s="88" customFormat="1" spans="2:123">
      <c r="B89" s="208" t="s">
        <v>324</v>
      </c>
      <c r="C89" s="124"/>
      <c r="D89" s="125"/>
      <c r="E89" s="125"/>
      <c r="F89" s="125"/>
      <c r="G89" s="125"/>
      <c r="H89" s="124"/>
      <c r="I89" s="125"/>
      <c r="J89" s="125"/>
      <c r="K89" s="125"/>
      <c r="L89" s="125"/>
      <c r="M89" s="124"/>
      <c r="N89" s="125"/>
      <c r="O89" s="125"/>
      <c r="P89" s="125"/>
      <c r="Q89" s="125"/>
      <c r="R89" s="124"/>
      <c r="S89" s="125"/>
      <c r="T89" s="125"/>
      <c r="U89" s="125"/>
      <c r="V89" s="125"/>
      <c r="W89" s="124"/>
      <c r="X89" s="125"/>
      <c r="Y89" s="125"/>
      <c r="Z89" s="125"/>
      <c r="AA89" s="125"/>
      <c r="AB89" s="124"/>
      <c r="AC89" s="125"/>
      <c r="AD89" s="125"/>
      <c r="AE89" s="125"/>
      <c r="AF89" s="125"/>
      <c r="AG89" s="124"/>
      <c r="AH89" s="125"/>
      <c r="AI89" s="125"/>
      <c r="AJ89" s="125"/>
      <c r="AK89" s="125"/>
      <c r="AL89" s="124"/>
      <c r="AM89" s="125"/>
      <c r="AN89" s="125"/>
      <c r="AO89" s="125"/>
      <c r="AP89" s="125"/>
      <c r="AQ89" s="124"/>
      <c r="AR89" s="125"/>
      <c r="AS89" s="125"/>
      <c r="AT89" s="125"/>
      <c r="AU89" s="125"/>
      <c r="AV89" s="124"/>
      <c r="AW89" s="125"/>
      <c r="AX89" s="125"/>
      <c r="AY89" s="125"/>
      <c r="AZ89" s="125"/>
      <c r="BA89" s="124"/>
      <c r="BB89" s="125"/>
      <c r="BC89" s="125"/>
      <c r="BD89" s="125"/>
      <c r="BE89" s="125"/>
      <c r="BF89" s="124"/>
      <c r="BG89" s="125"/>
      <c r="BH89" s="125"/>
      <c r="BI89" s="125"/>
      <c r="BJ89" s="125"/>
      <c r="BK89" s="124"/>
      <c r="BL89" s="125"/>
      <c r="BM89" s="125"/>
      <c r="BN89" s="125"/>
      <c r="BO89" s="125"/>
      <c r="BP89" s="124"/>
      <c r="BQ89" s="125"/>
      <c r="BR89" s="125"/>
      <c r="BS89" s="125"/>
      <c r="BT89" s="125"/>
      <c r="BU89" s="124"/>
      <c r="BV89" s="125"/>
      <c r="BW89" s="125"/>
      <c r="BX89" s="125"/>
      <c r="BY89" s="125"/>
      <c r="BZ89" s="124"/>
      <c r="CA89" s="125"/>
      <c r="CB89" s="125"/>
      <c r="CC89" s="125"/>
      <c r="CD89" s="125"/>
      <c r="CE89" s="124"/>
      <c r="CF89" s="125"/>
      <c r="CG89" s="125"/>
      <c r="CH89" s="125"/>
      <c r="CI89" s="125"/>
      <c r="CJ89" s="124"/>
      <c r="CK89" s="125"/>
      <c r="CL89" s="125"/>
      <c r="CM89" s="125"/>
      <c r="CN89" s="125"/>
      <c r="CO89" s="124">
        <f>CO372</f>
        <v>-8.752</v>
      </c>
      <c r="CP89" s="761" t="s">
        <v>208</v>
      </c>
      <c r="CQ89" s="761" t="s">
        <v>208</v>
      </c>
      <c r="CR89" s="761" t="s">
        <v>208</v>
      </c>
      <c r="CS89" s="761" t="s">
        <v>208</v>
      </c>
      <c r="CT89" s="124">
        <f t="shared" ref="CT89:DB89" si="861">CT372</f>
        <v>-5.01000000000001</v>
      </c>
      <c r="CU89" s="125">
        <f t="shared" si="861"/>
        <v>0</v>
      </c>
      <c r="CV89" s="125">
        <f t="shared" si="861"/>
        <v>0</v>
      </c>
      <c r="CW89" s="125">
        <f t="shared" ref="CW89:CX89" si="862">CW372</f>
        <v>-1.118</v>
      </c>
      <c r="CX89" s="125">
        <f t="shared" si="862"/>
        <v>-1.617</v>
      </c>
      <c r="CY89" s="124">
        <f t="shared" si="861"/>
        <v>-2.735</v>
      </c>
      <c r="CZ89" s="125">
        <f t="shared" si="861"/>
        <v>-1.63</v>
      </c>
      <c r="DA89" s="125">
        <f t="shared" si="861"/>
        <v>-1.73</v>
      </c>
      <c r="DB89" s="125">
        <f t="shared" si="861"/>
        <v>-1.776</v>
      </c>
      <c r="DC89" s="125">
        <f t="shared" ref="DC89:DF89" si="863">DC372</f>
        <v>-1.825</v>
      </c>
      <c r="DD89" s="124">
        <f t="shared" si="863"/>
        <v>-6.961</v>
      </c>
      <c r="DE89" s="125">
        <f t="shared" si="863"/>
        <v>-1.884</v>
      </c>
      <c r="DF89" s="125">
        <f t="shared" si="863"/>
        <v>-1.893</v>
      </c>
      <c r="DG89" s="125"/>
      <c r="DH89" s="125"/>
      <c r="DI89" s="124"/>
      <c r="DJ89" s="125"/>
      <c r="DK89" s="125"/>
      <c r="DL89" s="125"/>
      <c r="DM89" s="125"/>
      <c r="DN89" s="124"/>
      <c r="DO89" s="125"/>
      <c r="DP89" s="125"/>
      <c r="DQ89" s="125"/>
      <c r="DR89" s="125"/>
      <c r="DS89" s="124"/>
    </row>
    <row r="90" spans="2:123">
      <c r="B90" s="33"/>
      <c r="C90" s="119"/>
      <c r="D90" s="120"/>
      <c r="E90" s="120"/>
      <c r="F90" s="120"/>
      <c r="G90" s="120"/>
      <c r="H90" s="119"/>
      <c r="I90" s="120"/>
      <c r="J90" s="120"/>
      <c r="K90" s="120"/>
      <c r="L90" s="120"/>
      <c r="M90" s="119"/>
      <c r="N90" s="120"/>
      <c r="O90" s="120"/>
      <c r="P90" s="120"/>
      <c r="Q90" s="120"/>
      <c r="R90" s="119"/>
      <c r="S90" s="120"/>
      <c r="T90" s="120"/>
      <c r="U90" s="120"/>
      <c r="V90" s="120"/>
      <c r="W90" s="119"/>
      <c r="X90" s="120"/>
      <c r="Y90" s="120"/>
      <c r="Z90" s="120"/>
      <c r="AA90" s="120"/>
      <c r="AB90" s="119"/>
      <c r="AC90" s="120"/>
      <c r="AD90" s="120"/>
      <c r="AE90" s="120"/>
      <c r="AF90" s="120"/>
      <c r="AG90" s="119"/>
      <c r="AH90" s="120"/>
      <c r="AI90" s="120"/>
      <c r="AJ90" s="120"/>
      <c r="AK90" s="120"/>
      <c r="AL90" s="119"/>
      <c r="AM90" s="120"/>
      <c r="AN90" s="120"/>
      <c r="AO90" s="120"/>
      <c r="AP90" s="120"/>
      <c r="AQ90" s="119"/>
      <c r="AR90" s="120"/>
      <c r="AS90" s="120"/>
      <c r="AT90" s="120"/>
      <c r="AU90" s="120"/>
      <c r="AV90" s="119"/>
      <c r="AW90" s="120"/>
      <c r="AX90" s="120"/>
      <c r="AY90" s="120"/>
      <c r="AZ90" s="120"/>
      <c r="BA90" s="119"/>
      <c r="BB90" s="120"/>
      <c r="BC90" s="120"/>
      <c r="BD90" s="120"/>
      <c r="BE90" s="120"/>
      <c r="BF90" s="119"/>
      <c r="BG90" s="120"/>
      <c r="BH90" s="120"/>
      <c r="BI90" s="120"/>
      <c r="BJ90" s="120"/>
      <c r="BK90" s="119"/>
      <c r="BL90" s="120"/>
      <c r="BM90" s="120"/>
      <c r="BN90" s="120"/>
      <c r="BO90" s="120"/>
      <c r="BP90" s="119"/>
      <c r="BQ90" s="120"/>
      <c r="BR90" s="120"/>
      <c r="BS90" s="120"/>
      <c r="BT90" s="120"/>
      <c r="BU90" s="119"/>
      <c r="BV90" s="120"/>
      <c r="BW90" s="120"/>
      <c r="BX90" s="120"/>
      <c r="BY90" s="120"/>
      <c r="BZ90" s="119"/>
      <c r="CA90" s="120"/>
      <c r="CB90" s="120"/>
      <c r="CC90" s="120"/>
      <c r="CD90" s="120"/>
      <c r="CE90" s="119"/>
      <c r="CF90" s="120"/>
      <c r="CG90" s="120"/>
      <c r="CH90" s="120"/>
      <c r="CI90" s="120"/>
      <c r="CJ90" s="119"/>
      <c r="CK90" s="120"/>
      <c r="CL90" s="120"/>
      <c r="CM90" s="120"/>
      <c r="CN90" s="120"/>
      <c r="CO90" s="119"/>
      <c r="CP90" s="120"/>
      <c r="CQ90" s="120"/>
      <c r="CR90" s="120"/>
      <c r="CS90" s="120"/>
      <c r="CT90" s="119"/>
      <c r="CU90" s="120"/>
      <c r="CV90" s="120"/>
      <c r="CW90" s="120"/>
      <c r="CX90" s="120"/>
      <c r="CY90" s="119"/>
      <c r="CZ90" s="120"/>
      <c r="DA90" s="120"/>
      <c r="DB90" s="120"/>
      <c r="DC90" s="120"/>
      <c r="DD90" s="119"/>
      <c r="DE90" s="125"/>
      <c r="DF90" s="120"/>
      <c r="DG90" s="120"/>
      <c r="DH90" s="120"/>
      <c r="DI90" s="119"/>
      <c r="DJ90" s="120"/>
      <c r="DK90" s="120"/>
      <c r="DL90" s="120"/>
      <c r="DM90" s="120"/>
      <c r="DN90" s="119"/>
      <c r="DO90" s="120"/>
      <c r="DP90" s="120"/>
      <c r="DQ90" s="120"/>
      <c r="DR90" s="120"/>
      <c r="DS90" s="119"/>
    </row>
    <row r="91" s="89" customFormat="1" spans="2:123">
      <c r="B91" s="175" t="s">
        <v>76</v>
      </c>
      <c r="C91" s="131"/>
      <c r="D91" s="132"/>
      <c r="E91" s="132"/>
      <c r="F91" s="132"/>
      <c r="G91" s="132"/>
      <c r="H91" s="131"/>
      <c r="I91" s="132"/>
      <c r="J91" s="132"/>
      <c r="K91" s="132"/>
      <c r="L91" s="132"/>
      <c r="M91" s="131"/>
      <c r="N91" s="132"/>
      <c r="O91" s="132"/>
      <c r="P91" s="132"/>
      <c r="Q91" s="132"/>
      <c r="R91" s="131"/>
      <c r="S91" s="132"/>
      <c r="T91" s="132"/>
      <c r="U91" s="132"/>
      <c r="V91" s="132"/>
      <c r="W91" s="131"/>
      <c r="X91" s="132"/>
      <c r="Y91" s="132"/>
      <c r="Z91" s="132"/>
      <c r="AA91" s="132"/>
      <c r="AB91" s="131"/>
      <c r="AC91" s="132"/>
      <c r="AD91" s="132"/>
      <c r="AE91" s="132"/>
      <c r="AF91" s="132"/>
      <c r="AG91" s="131"/>
      <c r="AH91" s="132"/>
      <c r="AI91" s="132"/>
      <c r="AJ91" s="132"/>
      <c r="AK91" s="132"/>
      <c r="AL91" s="131"/>
      <c r="AM91" s="132"/>
      <c r="AN91" s="132"/>
      <c r="AO91" s="132"/>
      <c r="AP91" s="132"/>
      <c r="AQ91" s="131"/>
      <c r="AR91" s="132"/>
      <c r="AS91" s="132"/>
      <c r="AT91" s="132"/>
      <c r="AU91" s="132"/>
      <c r="AV91" s="131"/>
      <c r="AW91" s="132"/>
      <c r="AX91" s="132"/>
      <c r="AY91" s="132"/>
      <c r="AZ91" s="132"/>
      <c r="BA91" s="131"/>
      <c r="BB91" s="132"/>
      <c r="BC91" s="132"/>
      <c r="BD91" s="132"/>
      <c r="BE91" s="132"/>
      <c r="BF91" s="131"/>
      <c r="BG91" s="132"/>
      <c r="BH91" s="132"/>
      <c r="BI91" s="132"/>
      <c r="BJ91" s="132"/>
      <c r="BK91" s="131"/>
      <c r="BL91" s="132"/>
      <c r="BM91" s="132"/>
      <c r="BN91" s="132"/>
      <c r="BO91" s="132"/>
      <c r="BP91" s="131"/>
      <c r="BQ91" s="132"/>
      <c r="BR91" s="132"/>
      <c r="BS91" s="132"/>
      <c r="BT91" s="132"/>
      <c r="BU91" s="131"/>
      <c r="BV91" s="132"/>
      <c r="BW91" s="132"/>
      <c r="BX91" s="132"/>
      <c r="BY91" s="132"/>
      <c r="BZ91" s="131"/>
      <c r="CA91" s="132"/>
      <c r="CB91" s="132"/>
      <c r="CC91" s="132"/>
      <c r="CD91" s="132"/>
      <c r="CE91" s="131"/>
      <c r="CF91" s="132"/>
      <c r="CG91" s="132"/>
      <c r="CH91" s="132"/>
      <c r="CI91" s="132"/>
      <c r="CJ91" s="131"/>
      <c r="CK91" s="132"/>
      <c r="CL91" s="132"/>
      <c r="CM91" s="132"/>
      <c r="CN91" s="132"/>
      <c r="CO91" s="131">
        <f>CO79+CO84+CO89</f>
        <v>1789.069</v>
      </c>
      <c r="CP91" s="132">
        <f>CP213+CP272+CP351+CP373</f>
        <v>401.414</v>
      </c>
      <c r="CQ91" s="132">
        <f>CQ213+CQ272+CQ351+CQ373</f>
        <v>479.257</v>
      </c>
      <c r="CR91" s="132">
        <f>CR213+CR272+CR351+CR373</f>
        <v>436.325</v>
      </c>
      <c r="CS91" s="132">
        <f>CS213+CS272+CS351+CS373</f>
        <v>913.89</v>
      </c>
      <c r="CT91" s="131">
        <f t="shared" ref="CT91:DF91" si="864">CT79+CT84+CT89</f>
        <v>2230.886</v>
      </c>
      <c r="CU91" s="132">
        <f t="shared" si="864"/>
        <v>432.642000000001</v>
      </c>
      <c r="CV91" s="132">
        <f t="shared" si="864"/>
        <v>540.226</v>
      </c>
      <c r="CW91" s="132">
        <f t="shared" si="864"/>
        <v>490.661</v>
      </c>
      <c r="CX91" s="132">
        <f t="shared" si="864"/>
        <v>1042.168</v>
      </c>
      <c r="CY91" s="131">
        <f t="shared" si="864"/>
        <v>2505.697</v>
      </c>
      <c r="CZ91" s="132">
        <f t="shared" si="864"/>
        <v>438.625</v>
      </c>
      <c r="DA91" s="132">
        <f t="shared" si="864"/>
        <v>523.814</v>
      </c>
      <c r="DB91" s="132">
        <f t="shared" si="864"/>
        <v>435.886</v>
      </c>
      <c r="DC91" s="132">
        <f t="shared" si="864"/>
        <v>812.29</v>
      </c>
      <c r="DD91" s="131">
        <f t="shared" si="864"/>
        <v>2210.615</v>
      </c>
      <c r="DE91" s="132">
        <f t="shared" si="864"/>
        <v>276.946</v>
      </c>
      <c r="DF91" s="132">
        <f t="shared" si="864"/>
        <v>453.653</v>
      </c>
      <c r="DG91" s="132"/>
      <c r="DH91" s="132"/>
      <c r="DI91" s="131"/>
      <c r="DJ91" s="132"/>
      <c r="DK91" s="132"/>
      <c r="DL91" s="132"/>
      <c r="DM91" s="132"/>
      <c r="DN91" s="131"/>
      <c r="DO91" s="132"/>
      <c r="DP91" s="132"/>
      <c r="DQ91" s="132"/>
      <c r="DR91" s="132"/>
      <c r="DS91" s="131"/>
    </row>
    <row r="92" s="1" customFormat="1" spans="2:123">
      <c r="B92" s="174" t="s">
        <v>307</v>
      </c>
      <c r="C92" s="67"/>
      <c r="D92" s="196"/>
      <c r="E92" s="196"/>
      <c r="F92" s="196"/>
      <c r="G92" s="196"/>
      <c r="H92" s="67"/>
      <c r="I92" s="196"/>
      <c r="J92" s="196"/>
      <c r="K92" s="196"/>
      <c r="L92" s="196"/>
      <c r="M92" s="67"/>
      <c r="N92" s="196"/>
      <c r="O92" s="196"/>
      <c r="P92" s="196"/>
      <c r="Q92" s="196"/>
      <c r="R92" s="67"/>
      <c r="S92" s="196"/>
      <c r="T92" s="196"/>
      <c r="U92" s="196"/>
      <c r="V92" s="196"/>
      <c r="W92" s="67"/>
      <c r="X92" s="196"/>
      <c r="Y92" s="196"/>
      <c r="Z92" s="196"/>
      <c r="AA92" s="196"/>
      <c r="AB92" s="67"/>
      <c r="AC92" s="196"/>
      <c r="AD92" s="196"/>
      <c r="AE92" s="196"/>
      <c r="AF92" s="196"/>
      <c r="AG92" s="67"/>
      <c r="AH92" s="196"/>
      <c r="AI92" s="196"/>
      <c r="AJ92" s="196"/>
      <c r="AK92" s="196"/>
      <c r="AL92" s="67"/>
      <c r="AM92" s="196"/>
      <c r="AN92" s="196"/>
      <c r="AO92" s="196"/>
      <c r="AP92" s="196"/>
      <c r="AQ92" s="67"/>
      <c r="AR92" s="196"/>
      <c r="AS92" s="196"/>
      <c r="AT92" s="196"/>
      <c r="AU92" s="196"/>
      <c r="AV92" s="67"/>
      <c r="AW92" s="196"/>
      <c r="AX92" s="196"/>
      <c r="AY92" s="196"/>
      <c r="AZ92" s="196"/>
      <c r="BA92" s="67"/>
      <c r="BB92" s="196"/>
      <c r="BC92" s="196"/>
      <c r="BD92" s="196"/>
      <c r="BE92" s="196"/>
      <c r="BF92" s="67"/>
      <c r="BG92" s="196"/>
      <c r="BH92" s="196"/>
      <c r="BI92" s="196"/>
      <c r="BJ92" s="196"/>
      <c r="BK92" s="67"/>
      <c r="BL92" s="196"/>
      <c r="BM92" s="196"/>
      <c r="BN92" s="196"/>
      <c r="BO92" s="196"/>
      <c r="BP92" s="67"/>
      <c r="BQ92" s="196"/>
      <c r="BR92" s="196"/>
      <c r="BS92" s="196"/>
      <c r="BT92" s="196"/>
      <c r="BU92" s="67"/>
      <c r="BV92" s="196"/>
      <c r="BW92" s="196"/>
      <c r="BX92" s="196"/>
      <c r="BY92" s="196"/>
      <c r="BZ92" s="67"/>
      <c r="CA92" s="196"/>
      <c r="CB92" s="196"/>
      <c r="CC92" s="196"/>
      <c r="CD92" s="196"/>
      <c r="CE92" s="67"/>
      <c r="CF92" s="196"/>
      <c r="CG92" s="196"/>
      <c r="CH92" s="196"/>
      <c r="CI92" s="196"/>
      <c r="CJ92" s="67"/>
      <c r="CK92" s="196"/>
      <c r="CL92" s="196"/>
      <c r="CM92" s="196"/>
      <c r="CN92" s="196"/>
      <c r="CO92" s="758" t="s">
        <v>208</v>
      </c>
      <c r="CP92" s="761" t="s">
        <v>208</v>
      </c>
      <c r="CQ92" s="761" t="s">
        <v>208</v>
      </c>
      <c r="CR92" s="761" t="s">
        <v>208</v>
      </c>
      <c r="CS92" s="761" t="s">
        <v>208</v>
      </c>
      <c r="CT92" s="67">
        <f>CT91/CO91-1</f>
        <v>0.246953583120606</v>
      </c>
      <c r="CU92" s="196">
        <f t="shared" ref="CU92:CY92" si="865">CU91/CP91-1</f>
        <v>0.0777949946937588</v>
      </c>
      <c r="CV92" s="196">
        <f t="shared" si="865"/>
        <v>0.127215669254701</v>
      </c>
      <c r="CW92" s="196">
        <f t="shared" si="865"/>
        <v>0.124531026184611</v>
      </c>
      <c r="CX92" s="196">
        <f t="shared" si="865"/>
        <v>0.140364814146123</v>
      </c>
      <c r="CY92" s="67">
        <f t="shared" si="865"/>
        <v>0.123184689849684</v>
      </c>
      <c r="CZ92" s="196">
        <f t="shared" ref="CZ92" si="866">CZ91/CU91-1</f>
        <v>0.0138289856278386</v>
      </c>
      <c r="DA92" s="196">
        <f t="shared" ref="DA92:DB92" si="867">DA91/CV91-1</f>
        <v>-0.0303798780510384</v>
      </c>
      <c r="DB92" s="196">
        <f t="shared" si="867"/>
        <v>-0.111635120786042</v>
      </c>
      <c r="DC92" s="196">
        <f t="shared" ref="DC92:DD92" si="868">DC91/CX91-1</f>
        <v>-0.220576720835797</v>
      </c>
      <c r="DD92" s="67">
        <f t="shared" si="868"/>
        <v>-0.117764438397778</v>
      </c>
      <c r="DE92" s="196">
        <f t="shared" ref="DE92:DF92" si="869">DE91/CZ91-1</f>
        <v>-0.368604160729552</v>
      </c>
      <c r="DF92" s="196">
        <f t="shared" si="869"/>
        <v>-0.133942582672475</v>
      </c>
      <c r="DG92" s="196"/>
      <c r="DH92" s="196"/>
      <c r="DI92" s="67"/>
      <c r="DJ92" s="196"/>
      <c r="DK92" s="196"/>
      <c r="DL92" s="196"/>
      <c r="DM92" s="196"/>
      <c r="DN92" s="67"/>
      <c r="DO92" s="196"/>
      <c r="DP92" s="196"/>
      <c r="DQ92" s="196"/>
      <c r="DR92" s="196"/>
      <c r="DS92" s="67"/>
    </row>
    <row r="93" s="1" customFormat="1" spans="2:123">
      <c r="B93" s="174" t="s">
        <v>322</v>
      </c>
      <c r="C93" s="67"/>
      <c r="D93" s="196"/>
      <c r="E93" s="196"/>
      <c r="F93" s="196"/>
      <c r="G93" s="196"/>
      <c r="H93" s="67"/>
      <c r="I93" s="196"/>
      <c r="J93" s="196"/>
      <c r="K93" s="196"/>
      <c r="L93" s="196"/>
      <c r="M93" s="67"/>
      <c r="N93" s="196"/>
      <c r="O93" s="196"/>
      <c r="P93" s="196"/>
      <c r="Q93" s="196"/>
      <c r="R93" s="67"/>
      <c r="S93" s="196"/>
      <c r="T93" s="196"/>
      <c r="U93" s="196"/>
      <c r="V93" s="196"/>
      <c r="W93" s="67"/>
      <c r="X93" s="196"/>
      <c r="Y93" s="196"/>
      <c r="Z93" s="196"/>
      <c r="AA93" s="196"/>
      <c r="AB93" s="67"/>
      <c r="AC93" s="196"/>
      <c r="AD93" s="196"/>
      <c r="AE93" s="196"/>
      <c r="AF93" s="196"/>
      <c r="AG93" s="67"/>
      <c r="AH93" s="196"/>
      <c r="AI93" s="196"/>
      <c r="AJ93" s="196"/>
      <c r="AK93" s="196"/>
      <c r="AL93" s="67"/>
      <c r="AM93" s="196"/>
      <c r="AN93" s="196"/>
      <c r="AO93" s="196"/>
      <c r="AP93" s="196"/>
      <c r="AQ93" s="67"/>
      <c r="AR93" s="196"/>
      <c r="AS93" s="196"/>
      <c r="AT93" s="196"/>
      <c r="AU93" s="196"/>
      <c r="AV93" s="67"/>
      <c r="AW93" s="196"/>
      <c r="AX93" s="196"/>
      <c r="AY93" s="196"/>
      <c r="AZ93" s="196"/>
      <c r="BA93" s="67"/>
      <c r="BB93" s="196"/>
      <c r="BC93" s="196"/>
      <c r="BD93" s="196"/>
      <c r="BE93" s="196"/>
      <c r="BF93" s="67"/>
      <c r="BG93" s="196"/>
      <c r="BH93" s="196"/>
      <c r="BI93" s="196"/>
      <c r="BJ93" s="196"/>
      <c r="BK93" s="67"/>
      <c r="BL93" s="196"/>
      <c r="BM93" s="196"/>
      <c r="BN93" s="196"/>
      <c r="BO93" s="196"/>
      <c r="BP93" s="67"/>
      <c r="BQ93" s="196"/>
      <c r="BR93" s="196"/>
      <c r="BS93" s="196"/>
      <c r="BT93" s="196"/>
      <c r="BU93" s="67"/>
      <c r="BV93" s="196"/>
      <c r="BW93" s="196"/>
      <c r="BX93" s="196"/>
      <c r="BY93" s="196"/>
      <c r="BZ93" s="67"/>
      <c r="CA93" s="196"/>
      <c r="CB93" s="196"/>
      <c r="CC93" s="196"/>
      <c r="CD93" s="196"/>
      <c r="CE93" s="67"/>
      <c r="CF93" s="196"/>
      <c r="CG93" s="196"/>
      <c r="CH93" s="196"/>
      <c r="CI93" s="196"/>
      <c r="CJ93" s="67"/>
      <c r="CK93" s="196"/>
      <c r="CL93" s="196"/>
      <c r="CM93" s="196"/>
      <c r="CN93" s="196"/>
      <c r="CO93" s="67">
        <f t="shared" ref="CO93:DF93" si="870">CO91/CO13</f>
        <v>0.22058628067899</v>
      </c>
      <c r="CP93" s="196">
        <f t="shared" si="870"/>
        <v>0.20062755148961</v>
      </c>
      <c r="CQ93" s="196">
        <f t="shared" si="870"/>
        <v>0.216940337186222</v>
      </c>
      <c r="CR93" s="196">
        <f t="shared" si="870"/>
        <v>0.197950021277387</v>
      </c>
      <c r="CS93" s="196">
        <f t="shared" si="870"/>
        <v>0.285135922308893</v>
      </c>
      <c r="CT93" s="67">
        <f t="shared" si="870"/>
        <v>0.231918237522608</v>
      </c>
      <c r="CU93" s="196">
        <f t="shared" si="870"/>
        <v>0.195863897313177</v>
      </c>
      <c r="CV93" s="196">
        <f t="shared" si="870"/>
        <v>0.227839826441813</v>
      </c>
      <c r="CW93" s="196">
        <f t="shared" si="870"/>
        <v>0.204726995068137</v>
      </c>
      <c r="CX93" s="196">
        <f t="shared" si="870"/>
        <v>0.2885695322466</v>
      </c>
      <c r="CY93" s="67">
        <f t="shared" si="870"/>
        <v>0.236651603881556</v>
      </c>
      <c r="CZ93" s="196">
        <f t="shared" si="870"/>
        <v>0.185022314460952</v>
      </c>
      <c r="DA93" s="196">
        <f t="shared" si="870"/>
        <v>0.207433097881807</v>
      </c>
      <c r="DB93" s="196">
        <f t="shared" si="870"/>
        <v>0.16987513250608</v>
      </c>
      <c r="DC93" s="196">
        <f t="shared" si="870"/>
        <v>0.22310749749849</v>
      </c>
      <c r="DD93" s="67">
        <f t="shared" si="870"/>
        <v>0.199107866625836</v>
      </c>
      <c r="DE93" s="196">
        <f t="shared" si="870"/>
        <v>0.112051166793373</v>
      </c>
      <c r="DF93" s="196">
        <f t="shared" si="870"/>
        <v>0.187798964328575</v>
      </c>
      <c r="DG93" s="196"/>
      <c r="DH93" s="196"/>
      <c r="DI93" s="67"/>
      <c r="DJ93" s="196"/>
      <c r="DK93" s="196"/>
      <c r="DL93" s="196"/>
      <c r="DM93" s="196"/>
      <c r="DN93" s="67"/>
      <c r="DO93" s="196"/>
      <c r="DP93" s="196"/>
      <c r="DQ93" s="196"/>
      <c r="DR93" s="196"/>
      <c r="DS93" s="67"/>
    </row>
    <row r="94" spans="2:123">
      <c r="B94" s="144" t="s">
        <v>320</v>
      </c>
      <c r="C94" s="119"/>
      <c r="D94" s="120"/>
      <c r="E94" s="120"/>
      <c r="F94" s="120"/>
      <c r="G94" s="120"/>
      <c r="H94" s="119"/>
      <c r="I94" s="120"/>
      <c r="J94" s="120"/>
      <c r="K94" s="120"/>
      <c r="L94" s="120"/>
      <c r="M94" s="119"/>
      <c r="N94" s="120"/>
      <c r="O94" s="120"/>
      <c r="P94" s="120"/>
      <c r="Q94" s="120"/>
      <c r="R94" s="119"/>
      <c r="S94" s="120"/>
      <c r="T94" s="120"/>
      <c r="U94" s="120"/>
      <c r="V94" s="120"/>
      <c r="W94" s="119"/>
      <c r="X94" s="120"/>
      <c r="Y94" s="120"/>
      <c r="Z94" s="120"/>
      <c r="AA94" s="120"/>
      <c r="AB94" s="119"/>
      <c r="AC94" s="120"/>
      <c r="AD94" s="120"/>
      <c r="AE94" s="120"/>
      <c r="AF94" s="120"/>
      <c r="AG94" s="119"/>
      <c r="AH94" s="120"/>
      <c r="AI94" s="120"/>
      <c r="AJ94" s="120"/>
      <c r="AK94" s="120"/>
      <c r="AL94" s="119"/>
      <c r="AM94" s="120"/>
      <c r="AN94" s="120"/>
      <c r="AO94" s="120"/>
      <c r="AP94" s="120"/>
      <c r="AQ94" s="119"/>
      <c r="AR94" s="120"/>
      <c r="AS94" s="120"/>
      <c r="AT94" s="120"/>
      <c r="AU94" s="120"/>
      <c r="AV94" s="119"/>
      <c r="AW94" s="120"/>
      <c r="AX94" s="120"/>
      <c r="AY94" s="120"/>
      <c r="AZ94" s="120"/>
      <c r="BA94" s="119"/>
      <c r="BB94" s="120"/>
      <c r="BC94" s="120"/>
      <c r="BD94" s="120"/>
      <c r="BE94" s="120"/>
      <c r="BF94" s="119"/>
      <c r="BG94" s="120"/>
      <c r="BH94" s="120"/>
      <c r="BI94" s="120"/>
      <c r="BJ94" s="120"/>
      <c r="BK94" s="119"/>
      <c r="BL94" s="120"/>
      <c r="BM94" s="120"/>
      <c r="BN94" s="120"/>
      <c r="BO94" s="120"/>
      <c r="BP94" s="119"/>
      <c r="BQ94" s="120"/>
      <c r="BR94" s="120"/>
      <c r="BS94" s="120"/>
      <c r="BT94" s="120"/>
      <c r="BU94" s="119"/>
      <c r="BV94" s="120"/>
      <c r="BW94" s="120"/>
      <c r="BX94" s="120"/>
      <c r="BY94" s="120"/>
      <c r="BZ94" s="119"/>
      <c r="CA94" s="120"/>
      <c r="CB94" s="120"/>
      <c r="CC94" s="120"/>
      <c r="CD94" s="120"/>
      <c r="CE94" s="119"/>
      <c r="CF94" s="120"/>
      <c r="CG94" s="120"/>
      <c r="CH94" s="120"/>
      <c r="CI94" s="120"/>
      <c r="CJ94" s="119"/>
      <c r="CK94" s="120"/>
      <c r="CL94" s="120"/>
      <c r="CM94" s="120"/>
      <c r="CN94" s="120"/>
      <c r="CO94" s="763" t="s">
        <v>208</v>
      </c>
      <c r="CP94" s="761" t="s">
        <v>208</v>
      </c>
      <c r="CQ94" s="761" t="s">
        <v>208</v>
      </c>
      <c r="CR94" s="761" t="s">
        <v>208</v>
      </c>
      <c r="CS94" s="761" t="s">
        <v>208</v>
      </c>
      <c r="CT94" s="223">
        <f>(CT93-CO93)*100*100</f>
        <v>113.319568436182</v>
      </c>
      <c r="CU94" s="224">
        <f t="shared" ref="CU94" si="871">(CU93-CP93)*100*100</f>
        <v>-47.6365417643329</v>
      </c>
      <c r="CV94" s="224">
        <f t="shared" ref="CV94:CX94" si="872">(CV93-CQ93)*100*100</f>
        <v>108.994892555906</v>
      </c>
      <c r="CW94" s="224">
        <f t="shared" si="872"/>
        <v>67.7697379074935</v>
      </c>
      <c r="CX94" s="224">
        <f t="shared" si="872"/>
        <v>34.336099377073</v>
      </c>
      <c r="CY94" s="223">
        <f t="shared" ref="CY94" si="873">(CY93-CT93)*100*100</f>
        <v>47.3336635894744</v>
      </c>
      <c r="CZ94" s="224">
        <f t="shared" ref="CZ94" si="874">(CZ93-CU93)*100*100</f>
        <v>-108.415828522251</v>
      </c>
      <c r="DA94" s="224">
        <f t="shared" ref="DA94:DB94" si="875">(DA93-CV93)*100*100</f>
        <v>-204.067285600052</v>
      </c>
      <c r="DB94" s="224">
        <f t="shared" si="875"/>
        <v>-348.518625620569</v>
      </c>
      <c r="DC94" s="224">
        <f t="shared" ref="DC94" si="876">(DC93-CX93)*100*100</f>
        <v>-654.620347481104</v>
      </c>
      <c r="DD94" s="223">
        <f t="shared" ref="DD94:DF94" si="877">(DD93-CY93)*100*100</f>
        <v>-375.437372557201</v>
      </c>
      <c r="DE94" s="224">
        <f t="shared" si="877"/>
        <v>-729.711476675792</v>
      </c>
      <c r="DF94" s="224">
        <f t="shared" si="877"/>
        <v>-196.341335532323</v>
      </c>
      <c r="DG94" s="224"/>
      <c r="DH94" s="224"/>
      <c r="DI94" s="223"/>
      <c r="DJ94" s="224"/>
      <c r="DK94" s="224"/>
      <c r="DL94" s="224"/>
      <c r="DM94" s="224"/>
      <c r="DN94" s="223"/>
      <c r="DO94" s="224"/>
      <c r="DP94" s="224"/>
      <c r="DQ94" s="224"/>
      <c r="DR94" s="224"/>
      <c r="DS94" s="223"/>
    </row>
    <row r="95" spans="2:123">
      <c r="B95" s="33"/>
      <c r="C95" s="119"/>
      <c r="D95" s="120"/>
      <c r="E95" s="120"/>
      <c r="F95" s="120"/>
      <c r="G95" s="120"/>
      <c r="H95" s="119"/>
      <c r="I95" s="120"/>
      <c r="J95" s="120"/>
      <c r="K95" s="120"/>
      <c r="L95" s="120"/>
      <c r="M95" s="119"/>
      <c r="N95" s="120"/>
      <c r="O95" s="120"/>
      <c r="P95" s="120"/>
      <c r="Q95" s="120"/>
      <c r="R95" s="119"/>
      <c r="S95" s="120"/>
      <c r="T95" s="120"/>
      <c r="U95" s="120"/>
      <c r="V95" s="120"/>
      <c r="W95" s="119"/>
      <c r="X95" s="120"/>
      <c r="Y95" s="120"/>
      <c r="Z95" s="120"/>
      <c r="AA95" s="120"/>
      <c r="AB95" s="119"/>
      <c r="AC95" s="120"/>
      <c r="AD95" s="120"/>
      <c r="AE95" s="120"/>
      <c r="AF95" s="120"/>
      <c r="AG95" s="119"/>
      <c r="AH95" s="120"/>
      <c r="AI95" s="120"/>
      <c r="AJ95" s="120"/>
      <c r="AK95" s="120"/>
      <c r="AL95" s="119"/>
      <c r="AM95" s="120"/>
      <c r="AN95" s="120"/>
      <c r="AO95" s="120"/>
      <c r="AP95" s="120"/>
      <c r="AQ95" s="119"/>
      <c r="AR95" s="120"/>
      <c r="AS95" s="120"/>
      <c r="AT95" s="120"/>
      <c r="AU95" s="120"/>
      <c r="AV95" s="119"/>
      <c r="AW95" s="120"/>
      <c r="AX95" s="120"/>
      <c r="AY95" s="120"/>
      <c r="AZ95" s="120"/>
      <c r="BA95" s="119"/>
      <c r="BB95" s="120"/>
      <c r="BC95" s="120"/>
      <c r="BD95" s="120"/>
      <c r="BE95" s="120"/>
      <c r="BF95" s="119"/>
      <c r="BG95" s="120"/>
      <c r="BH95" s="120"/>
      <c r="BI95" s="120"/>
      <c r="BJ95" s="120"/>
      <c r="BK95" s="119"/>
      <c r="BL95" s="120"/>
      <c r="BM95" s="120"/>
      <c r="BN95" s="120"/>
      <c r="BO95" s="120"/>
      <c r="BP95" s="119"/>
      <c r="BQ95" s="120"/>
      <c r="BR95" s="120"/>
      <c r="BS95" s="120"/>
      <c r="BT95" s="120"/>
      <c r="BU95" s="119"/>
      <c r="BV95" s="120"/>
      <c r="BW95" s="120"/>
      <c r="BX95" s="120"/>
      <c r="BY95" s="120"/>
      <c r="BZ95" s="119"/>
      <c r="CA95" s="120"/>
      <c r="CB95" s="120"/>
      <c r="CC95" s="120"/>
      <c r="CD95" s="120"/>
      <c r="CE95" s="119"/>
      <c r="CF95" s="120"/>
      <c r="CG95" s="120"/>
      <c r="CH95" s="120"/>
      <c r="CI95" s="120"/>
      <c r="CJ95" s="119"/>
      <c r="CK95" s="120"/>
      <c r="CL95" s="120"/>
      <c r="CM95" s="120"/>
      <c r="CN95" s="120"/>
      <c r="CO95" s="119"/>
      <c r="CP95" s="120"/>
      <c r="CQ95" s="120"/>
      <c r="CR95" s="120"/>
      <c r="CS95" s="120"/>
      <c r="CT95" s="119"/>
      <c r="CU95" s="120"/>
      <c r="CV95" s="120"/>
      <c r="CW95" s="120"/>
      <c r="CX95" s="120"/>
      <c r="CY95" s="119"/>
      <c r="CZ95" s="120"/>
      <c r="DA95" s="120"/>
      <c r="DB95" s="120"/>
      <c r="DC95" s="120"/>
      <c r="DD95" s="119"/>
      <c r="DE95" s="120"/>
      <c r="DF95" s="120"/>
      <c r="DG95" s="120"/>
      <c r="DH95" s="120"/>
      <c r="DI95" s="119"/>
      <c r="DJ95" s="120"/>
      <c r="DK95" s="120"/>
      <c r="DL95" s="120"/>
      <c r="DM95" s="120"/>
      <c r="DN95" s="119"/>
      <c r="DO95" s="120"/>
      <c r="DP95" s="120"/>
      <c r="DQ95" s="120"/>
      <c r="DR95" s="120"/>
      <c r="DS95" s="119"/>
    </row>
    <row r="96" spans="2:123">
      <c r="B96" s="130" t="s">
        <v>325</v>
      </c>
      <c r="C96" s="119"/>
      <c r="D96" s="120"/>
      <c r="E96" s="120"/>
      <c r="F96" s="120"/>
      <c r="G96" s="120"/>
      <c r="H96" s="119"/>
      <c r="I96" s="120"/>
      <c r="J96" s="120"/>
      <c r="K96" s="120"/>
      <c r="L96" s="120"/>
      <c r="M96" s="119"/>
      <c r="N96" s="120"/>
      <c r="O96" s="120"/>
      <c r="P96" s="120"/>
      <c r="Q96" s="120"/>
      <c r="R96" s="119"/>
      <c r="S96" s="120"/>
      <c r="T96" s="120"/>
      <c r="U96" s="120"/>
      <c r="V96" s="120"/>
      <c r="W96" s="119"/>
      <c r="X96" s="120"/>
      <c r="Y96" s="120"/>
      <c r="Z96" s="120"/>
      <c r="AA96" s="120"/>
      <c r="AB96" s="119"/>
      <c r="AC96" s="120"/>
      <c r="AD96" s="120"/>
      <c r="AE96" s="120"/>
      <c r="AF96" s="120"/>
      <c r="AG96" s="119"/>
      <c r="AH96" s="120"/>
      <c r="AI96" s="120"/>
      <c r="AJ96" s="120"/>
      <c r="AK96" s="120"/>
      <c r="AL96" s="119"/>
      <c r="AM96" s="120"/>
      <c r="AN96" s="120"/>
      <c r="AO96" s="120"/>
      <c r="AP96" s="120"/>
      <c r="AQ96" s="119"/>
      <c r="AR96" s="120"/>
      <c r="AS96" s="120"/>
      <c r="AT96" s="120"/>
      <c r="AU96" s="120"/>
      <c r="AV96" s="119"/>
      <c r="AW96" s="120"/>
      <c r="AX96" s="120"/>
      <c r="AY96" s="120"/>
      <c r="AZ96" s="120"/>
      <c r="BA96" s="119"/>
      <c r="BB96" s="120"/>
      <c r="BC96" s="120"/>
      <c r="BD96" s="120"/>
      <c r="BE96" s="120"/>
      <c r="BF96" s="119"/>
      <c r="BG96" s="120"/>
      <c r="BH96" s="120"/>
      <c r="BI96" s="120"/>
      <c r="BJ96" s="120"/>
      <c r="BK96" s="119"/>
      <c r="BL96" s="120"/>
      <c r="BM96" s="120"/>
      <c r="BN96" s="120"/>
      <c r="BO96" s="120"/>
      <c r="BP96" s="119"/>
      <c r="BQ96" s="120"/>
      <c r="BR96" s="120"/>
      <c r="BS96" s="120"/>
      <c r="BT96" s="120"/>
      <c r="BU96" s="119"/>
      <c r="BV96" s="120"/>
      <c r="BW96" s="120"/>
      <c r="BX96" s="120"/>
      <c r="BY96" s="120"/>
      <c r="BZ96" s="119"/>
      <c r="CA96" s="120"/>
      <c r="CB96" s="120"/>
      <c r="CC96" s="120"/>
      <c r="CD96" s="120"/>
      <c r="CE96" s="119"/>
      <c r="CF96" s="120"/>
      <c r="CG96" s="120"/>
      <c r="CH96" s="120"/>
      <c r="CI96" s="120"/>
      <c r="CJ96" s="119"/>
      <c r="CK96" s="120"/>
      <c r="CL96" s="120"/>
      <c r="CM96" s="120"/>
      <c r="CN96" s="120"/>
      <c r="CO96" s="119"/>
      <c r="CP96" s="120"/>
      <c r="CQ96" s="120"/>
      <c r="CR96" s="120"/>
      <c r="CS96" s="120"/>
      <c r="CT96" s="119"/>
      <c r="CU96" s="120"/>
      <c r="CV96" s="120"/>
      <c r="CW96" s="120"/>
      <c r="CX96" s="120"/>
      <c r="CY96" s="119"/>
      <c r="CZ96" s="120"/>
      <c r="DA96" s="120"/>
      <c r="DB96" s="120"/>
      <c r="DC96" s="120"/>
      <c r="DD96" s="119"/>
      <c r="DE96" s="120"/>
      <c r="DF96" s="120"/>
      <c r="DG96" s="120"/>
      <c r="DH96" s="120"/>
      <c r="DI96" s="119"/>
      <c r="DJ96" s="120"/>
      <c r="DK96" s="120"/>
      <c r="DL96" s="120"/>
      <c r="DM96" s="120"/>
      <c r="DN96" s="119"/>
      <c r="DO96" s="120"/>
      <c r="DP96" s="120"/>
      <c r="DQ96" s="120"/>
      <c r="DR96" s="120"/>
      <c r="DS96" s="119"/>
    </row>
    <row r="97" spans="2:123">
      <c r="B97" s="33" t="s">
        <v>92</v>
      </c>
      <c r="C97" s="124">
        <v>-1.63</v>
      </c>
      <c r="D97" s="169">
        <f>H97-SUM(E97:G97)</f>
        <v>-0.682209193771239</v>
      </c>
      <c r="E97" s="169">
        <f>$G97*E448/$G448</f>
        <v>-0.782968744165204</v>
      </c>
      <c r="F97" s="169">
        <f>$G97*F448/$G448</f>
        <v>-0.865656920223558</v>
      </c>
      <c r="G97" s="169">
        <f>H97*G448/SUM(D448:G448)</f>
        <v>-1.06916514184</v>
      </c>
      <c r="H97" s="124">
        <v>-3.4</v>
      </c>
      <c r="I97" s="169">
        <f>M97-SUM(J97:L97)</f>
        <v>-1.92576341392282</v>
      </c>
      <c r="J97" s="169">
        <f>$L97*J448/$L448</f>
        <v>-2.15696927259801</v>
      </c>
      <c r="K97" s="169">
        <f>$L97*K448/$L448</f>
        <v>-2.39846248751779</v>
      </c>
      <c r="L97" s="169">
        <f>M97*L448/SUM(I448:L448)</f>
        <v>-2.71880482596138</v>
      </c>
      <c r="M97" s="124">
        <v>-9.2</v>
      </c>
      <c r="N97" s="169">
        <f>R97-SUM(O97:Q97)</f>
        <v>-3.90528291242255</v>
      </c>
      <c r="O97" s="169">
        <f>$Q97*O448/$Q448</f>
        <v>-4.45634282991484</v>
      </c>
      <c r="P97" s="169">
        <f>$Q97*P448/$Q448</f>
        <v>-5.04676417008516</v>
      </c>
      <c r="Q97" s="169">
        <f>R97*Q448/SUM(N448:Q448)</f>
        <v>-5.59782408757745</v>
      </c>
      <c r="R97" s="124">
        <v>-19.006214</v>
      </c>
      <c r="S97" s="169">
        <f>W97-SUM(T97:V97)</f>
        <v>-6.76893042320207</v>
      </c>
      <c r="T97" s="169">
        <f>$V97*T448/$V448</f>
        <v>-7.55390586141487</v>
      </c>
      <c r="U97" s="169">
        <f>$V97*U448/$V448</f>
        <v>-8.81858851186882</v>
      </c>
      <c r="V97" s="169">
        <f>W97*V448/SUM(S448:V448)</f>
        <v>-9.55995420351424</v>
      </c>
      <c r="W97" s="124">
        <v>-32.701379</v>
      </c>
      <c r="X97" s="169">
        <f>AB97-SUM(Y97:AA97)</f>
        <v>-10.1127556170066</v>
      </c>
      <c r="Y97" s="169">
        <f>$AA97*Y448/$AA448</f>
        <v>-10.1644228597765</v>
      </c>
      <c r="Z97" s="169">
        <f>$AA97*Z448/$AA448</f>
        <v>-10.3194245880862</v>
      </c>
      <c r="AA97" s="169">
        <f>AB97*AA448/SUM(X448:AA448)</f>
        <v>-11.0423969351308</v>
      </c>
      <c r="AB97" s="124">
        <v>-41.639</v>
      </c>
      <c r="AC97" s="169">
        <f>AG97-SUM(AD97:AF97)</f>
        <v>-12.2899244942197</v>
      </c>
      <c r="AD97" s="169">
        <f>$AF97*AD448/$AF448</f>
        <v>-12.9418081647399</v>
      </c>
      <c r="AE97" s="169">
        <f>$AF97*AE448/$AF448</f>
        <v>-13.6895570809249</v>
      </c>
      <c r="AF97" s="169">
        <f>AG97*AF448/SUM(AC448:AF448)</f>
        <v>-14.1497102601156</v>
      </c>
      <c r="AG97" s="124">
        <v>-53.071</v>
      </c>
      <c r="AH97" s="169">
        <f>AL97-SUM(AI97:AK97)</f>
        <v>-14.9498593200469</v>
      </c>
      <c r="AI97" s="169">
        <f>$AK97*AI448/$AK448</f>
        <v>-15.7760357561547</v>
      </c>
      <c r="AJ97" s="169">
        <f>$AK97*AJ448/$AK448</f>
        <v>-17.4283886283705</v>
      </c>
      <c r="AK97" s="169">
        <f>AL97*AK448/SUM(AH448:AK448)</f>
        <v>-18.9627162954279</v>
      </c>
      <c r="AL97" s="124">
        <v>-67.117</v>
      </c>
      <c r="AM97" s="169">
        <f>AQ97-SUM(AN97:AP97)</f>
        <v>-19.0569580064605</v>
      </c>
      <c r="AN97" s="169">
        <f>$AP97*AN448/$AP448</f>
        <v>-19.8937904937702</v>
      </c>
      <c r="AO97" s="169">
        <f>$AP97*AO448/$AP448</f>
        <v>-21.1300203045685</v>
      </c>
      <c r="AP97" s="169">
        <f>AQ97*AP448/SUM(AM448:AP448)</f>
        <v>-22.3472311952007</v>
      </c>
      <c r="AQ97" s="124">
        <v>-82.428</v>
      </c>
      <c r="AR97" s="169">
        <f>AV97-SUM(AS97:AU97)</f>
        <v>-19.187129588015</v>
      </c>
      <c r="AS97" s="169">
        <f>$AU97*AS448/$AU448</f>
        <v>-19.9989528089888</v>
      </c>
      <c r="AT97" s="169">
        <f>$AU97*AT448/$AU448</f>
        <v>-21.4196434456929</v>
      </c>
      <c r="AU97" s="169">
        <f>AV97*AU448/SUM(AR448:AU448)</f>
        <v>-22.7622741573034</v>
      </c>
      <c r="AV97" s="124">
        <v>-83.368</v>
      </c>
      <c r="AW97" s="169">
        <f>BA97-SUM(AX97:AZ97)</f>
        <v>-23.4117049486461</v>
      </c>
      <c r="AX97" s="169">
        <f>$AZ97*AX448/$AZ448</f>
        <v>-24.1433207282913</v>
      </c>
      <c r="AY97" s="169">
        <f>$AZ97*AY448/$AZ448</f>
        <v>-25.4508893557423</v>
      </c>
      <c r="AZ97" s="169">
        <f>BA97*AZ448/SUM(AW448:AZ448)</f>
        <v>-27.0230849673203</v>
      </c>
      <c r="BA97" s="124">
        <v>-100.029</v>
      </c>
      <c r="BB97" s="169">
        <f>BF97-SUM(BC97:BE97)</f>
        <v>-28.797016278774</v>
      </c>
      <c r="BC97" s="169">
        <f>$BE97*BC448/$BE448</f>
        <v>-30.3326460638433</v>
      </c>
      <c r="BD97" s="169">
        <f>$BE97*BD448/$BE448</f>
        <v>-31.9949257280936</v>
      </c>
      <c r="BE97" s="169">
        <f>BF97*BE448/SUM(BB448:BE448)</f>
        <v>-33.3564119292891</v>
      </c>
      <c r="BF97" s="124">
        <v>-124.481</v>
      </c>
      <c r="BG97" s="169">
        <f>BK97-SUM(BH97:BJ97)</f>
        <v>-35.5810096957539</v>
      </c>
      <c r="BH97" s="169">
        <f>$BJ97*BH448/$BJ448</f>
        <v>-36.3366544076674</v>
      </c>
      <c r="BI97" s="169">
        <f>$BJ97*BI448/$BJ448</f>
        <v>-37.1415802964449</v>
      </c>
      <c r="BJ97" s="169">
        <f>BK97*BJ448/SUM(BG448:BJ448)</f>
        <v>-38.3407556001337</v>
      </c>
      <c r="BK97" s="124">
        <v>-147.4</v>
      </c>
      <c r="BL97" s="169">
        <f>BP97-SUM(BM97:BO97)</f>
        <v>-41.5042694300518</v>
      </c>
      <c r="BM97" s="169">
        <f>BO97*BM448/BO448</f>
        <v>-42.3364352331606</v>
      </c>
      <c r="BN97" s="169">
        <f>BO97*BN448/BO448</f>
        <v>-42.1283937823834</v>
      </c>
      <c r="BO97" s="169">
        <f>BP97*BO448/SUM(BL448:BO448)</f>
        <v>-41.3309015544041</v>
      </c>
      <c r="BP97" s="124">
        <v>-167.3</v>
      </c>
      <c r="BQ97" s="169">
        <f>BU97-SUM(BR97:BT97)</f>
        <v>-46.6204463093649</v>
      </c>
      <c r="BR97" s="169">
        <f>BT97*BR448/BT448</f>
        <v>-48.7163837497616</v>
      </c>
      <c r="BS97" s="169">
        <f>BT97*BS448/BT448</f>
        <v>-50.1703223345413</v>
      </c>
      <c r="BT97" s="169">
        <f>BU97*BT448/SUM(BQ448:BT448)</f>
        <v>-52.4928476063323</v>
      </c>
      <c r="BU97" s="173">
        <v>-198</v>
      </c>
      <c r="BV97" s="172">
        <v>-60.339</v>
      </c>
      <c r="BW97" s="172">
        <v>-63.34</v>
      </c>
      <c r="BX97" s="172">
        <v>-65.149</v>
      </c>
      <c r="BY97" s="172">
        <f>BZ97-SUM(BV97:BX97)</f>
        <v>-67.854</v>
      </c>
      <c r="BZ97" s="124">
        <v>-256.682</v>
      </c>
      <c r="CA97" s="169">
        <f>$CE$97*CA398/SUM($CA$398:$CD$398)</f>
        <v>-64.7038194444444</v>
      </c>
      <c r="CB97" s="169">
        <f>$CE$97*CB398/SUM($CA$398:$CD$398)</f>
        <v>-65.6941840277778</v>
      </c>
      <c r="CC97" s="169">
        <f>$CE$97*CC398/SUM($CA$398:$CD$398)</f>
        <v>-67.4108159722222</v>
      </c>
      <c r="CD97" s="169">
        <f>$CE$97*CD398/SUM($CA$398:$CD$398)</f>
        <v>-68.4011805555556</v>
      </c>
      <c r="CE97" s="124">
        <v>-266.21</v>
      </c>
      <c r="CF97" s="169">
        <f>$CJ$97*CF398/SUM($CF$398:$CI$398)</f>
        <v>-77.1603867377695</v>
      </c>
      <c r="CG97" s="169">
        <f>$CJ$97*CG398/SUM($CF$398:$CI$398)</f>
        <v>-78.1211961511709</v>
      </c>
      <c r="CH97" s="169">
        <f>$CJ$97*CH398/SUM($CF$398:$CI$398)</f>
        <v>-80.26454022722</v>
      </c>
      <c r="CI97" s="169">
        <f>$CJ$97*CI398/SUM($CF$398:$CI$398)</f>
        <v>-83.2208768838396</v>
      </c>
      <c r="CJ97" s="124">
        <v>-318.767</v>
      </c>
      <c r="CK97" s="169">
        <f>$CO$97*CK398/SUM($CK$398:$CN$398)</f>
        <v>-89.9397256362508</v>
      </c>
      <c r="CL97" s="169">
        <f>$CO$97*CL398/SUM($CK$398:$CN$398)</f>
        <v>-91.9678547486033</v>
      </c>
      <c r="CM97" s="169">
        <f>$CO$97*CM398/SUM($CK$398:$CN$398)</f>
        <v>-95.4000732464308</v>
      </c>
      <c r="CN97" s="169">
        <f>$CO$97*CN398/SUM($CK$398:$CN$398)</f>
        <v>-99.6903463687151</v>
      </c>
      <c r="CO97" s="124">
        <v>-376.998</v>
      </c>
      <c r="CP97" s="169">
        <f>$CT$97*CP52/SUM($CP$52:$CS$52)</f>
        <v>-109.864013318535</v>
      </c>
      <c r="CQ97" s="169">
        <f>$CT$97*CQ52/SUM($CP$52:$CS$52)</f>
        <v>-111.282151683315</v>
      </c>
      <c r="CR97" s="169">
        <f>$CT$97*CR52/SUM($CP$52:$CS$52)</f>
        <v>-113.284229374769</v>
      </c>
      <c r="CS97" s="169">
        <f>$CT$97*CS52/SUM($CP$52:$CS$52)</f>
        <v>-116.537605623381</v>
      </c>
      <c r="CT97" s="127">
        <v>-450.968</v>
      </c>
      <c r="CU97" s="171">
        <f>CY97*CU52/SUM(CU52:CX52)</f>
        <v>-130.974235273973</v>
      </c>
      <c r="CV97" s="171">
        <f>CY97*CV52/SUM(CU52:CX52)</f>
        <v>-131.895291780822</v>
      </c>
      <c r="CW97" s="171">
        <f>CY97*CW52/SUM(CU52:CX52)</f>
        <v>-135.395306506849</v>
      </c>
      <c r="CX97" s="171">
        <f>CY97*CX52/SUM(CU52:CX52)</f>
        <v>-139.632166438356</v>
      </c>
      <c r="CY97" s="127">
        <v>-537.897</v>
      </c>
      <c r="CZ97" s="171">
        <f>DD97*CZ52/SUM(CZ52:DC52)</f>
        <v>-148.417939630456</v>
      </c>
      <c r="DA97" s="171">
        <f>DD97*DA52/SUM(CZ52:DC52)</f>
        <v>-150.059517362217</v>
      </c>
      <c r="DB97" s="171">
        <f>DD97*DB52/SUM(CZ52:DC52)</f>
        <v>-152.570165657853</v>
      </c>
      <c r="DC97" s="171">
        <f>DD97*DC52/SUM(CZ52:DC52)</f>
        <v>-155.177377349474</v>
      </c>
      <c r="DD97" s="129">
        <v>-606.225</v>
      </c>
      <c r="DE97" s="171">
        <f>DI97*DE52/SUM(DE52:DH52)</f>
        <v>-171.626159214707</v>
      </c>
      <c r="DF97" s="171">
        <f>DI97*DF52/SUM(DE52:DH52)</f>
        <v>-173.10296697685</v>
      </c>
      <c r="DG97" s="126">
        <f>DI97*DG52/SUM(DE52:DH52)</f>
        <v>-175.107206082615</v>
      </c>
      <c r="DH97" s="126">
        <f>DI97*DH52/SUM(DE52:DH52)</f>
        <v>-177.322417725828</v>
      </c>
      <c r="DI97" s="229">
        <f>DD97*1.15</f>
        <v>-697.15875</v>
      </c>
      <c r="DJ97" s="126">
        <f>DN97*DJ52/SUM(DJ52:DM52)</f>
        <v>-197.890833694781</v>
      </c>
      <c r="DK97" s="126">
        <f>DN97*DK52/SUM(DJ52:DM52)</f>
        <v>-199.059710444307</v>
      </c>
      <c r="DL97" s="126">
        <f>DN97*DL52/SUM(DJ52:DM52)</f>
        <v>-201.163688593454</v>
      </c>
      <c r="DM97" s="126">
        <f>DN97*DM52/SUM(DJ52:DM52)</f>
        <v>-203.618329767459</v>
      </c>
      <c r="DN97" s="229">
        <f>DI97*1.15</f>
        <v>-801.7325625</v>
      </c>
      <c r="DO97" s="126">
        <f>DS97*DO52/SUM(DO52:DR52)</f>
        <v>-227.676480127427</v>
      </c>
      <c r="DP97" s="126">
        <f>DS97*DP52/SUM(DO52:DR52)</f>
        <v>-228.973782008495</v>
      </c>
      <c r="DQ97" s="126">
        <f>DS97*DQ52/SUM(DO52:DR52)</f>
        <v>-231.308925394417</v>
      </c>
      <c r="DR97" s="126">
        <f>DS97*DR52/SUM(DO52:DR52)</f>
        <v>-234.03325934466</v>
      </c>
      <c r="DS97" s="229">
        <f>DN97*1.15</f>
        <v>-921.992446875</v>
      </c>
    </row>
    <row r="98" spans="2:123">
      <c r="B98" s="38" t="s">
        <v>69</v>
      </c>
      <c r="C98" s="180"/>
      <c r="D98" s="230"/>
      <c r="E98" s="230"/>
      <c r="F98" s="230"/>
      <c r="G98" s="230"/>
      <c r="H98" s="140">
        <f t="shared" ref="H98:AM98" si="878">H97/C97-1</f>
        <v>1.08588957055215</v>
      </c>
      <c r="I98" s="141">
        <f t="shared" si="878"/>
        <v>1.8228341563051</v>
      </c>
      <c r="J98" s="141">
        <f t="shared" si="878"/>
        <v>1.75485999750571</v>
      </c>
      <c r="K98" s="141">
        <f t="shared" si="878"/>
        <v>1.77068481922189</v>
      </c>
      <c r="L98" s="141">
        <f t="shared" si="878"/>
        <v>1.5429231833002</v>
      </c>
      <c r="M98" s="140">
        <f t="shared" si="878"/>
        <v>1.70588235294118</v>
      </c>
      <c r="N98" s="141">
        <f t="shared" si="878"/>
        <v>1.02791416857765</v>
      </c>
      <c r="O98" s="141">
        <f t="shared" si="878"/>
        <v>1.06602054397711</v>
      </c>
      <c r="P98" s="141">
        <f t="shared" si="878"/>
        <v>1.10416639674367</v>
      </c>
      <c r="Q98" s="141">
        <f t="shared" si="878"/>
        <v>1.05892825925746</v>
      </c>
      <c r="R98" s="140">
        <f t="shared" si="878"/>
        <v>1.06589282608696</v>
      </c>
      <c r="S98" s="141">
        <f t="shared" si="878"/>
        <v>0.733275302967265</v>
      </c>
      <c r="T98" s="141">
        <f t="shared" si="878"/>
        <v>0.695090828898193</v>
      </c>
      <c r="U98" s="141">
        <f t="shared" si="878"/>
        <v>0.747374795941776</v>
      </c>
      <c r="V98" s="141">
        <f t="shared" si="878"/>
        <v>0.707798254098309</v>
      </c>
      <c r="W98" s="140">
        <f t="shared" si="878"/>
        <v>0.720562496034192</v>
      </c>
      <c r="X98" s="141">
        <f t="shared" si="878"/>
        <v>0.493996094618252</v>
      </c>
      <c r="Y98" s="141">
        <f t="shared" si="878"/>
        <v>0.345585058412767</v>
      </c>
      <c r="Z98" s="141">
        <f t="shared" si="878"/>
        <v>0.170190056401589</v>
      </c>
      <c r="AA98" s="141">
        <f t="shared" si="878"/>
        <v>0.155067974182512</v>
      </c>
      <c r="AB98" s="140">
        <f t="shared" si="878"/>
        <v>0.273310217284721</v>
      </c>
      <c r="AC98" s="141">
        <f t="shared" si="878"/>
        <v>0.215289379044397</v>
      </c>
      <c r="AD98" s="141">
        <f t="shared" si="878"/>
        <v>0.273245745801694</v>
      </c>
      <c r="AE98" s="141">
        <f t="shared" si="878"/>
        <v>0.326581435241021</v>
      </c>
      <c r="AF98" s="141">
        <f t="shared" si="878"/>
        <v>0.281398444852049</v>
      </c>
      <c r="AG98" s="140">
        <f t="shared" si="878"/>
        <v>0.27455030140013</v>
      </c>
      <c r="AH98" s="141">
        <f t="shared" si="878"/>
        <v>0.216432153596899</v>
      </c>
      <c r="AI98" s="141">
        <f t="shared" si="878"/>
        <v>0.218997805819495</v>
      </c>
      <c r="AJ98" s="141">
        <f t="shared" si="878"/>
        <v>0.273115596461139</v>
      </c>
      <c r="AK98" s="141">
        <f t="shared" si="878"/>
        <v>0.340148734273303</v>
      </c>
      <c r="AL98" s="140">
        <f t="shared" si="878"/>
        <v>0.264664317612255</v>
      </c>
      <c r="AM98" s="141">
        <f t="shared" si="878"/>
        <v>0.274724905331133</v>
      </c>
      <c r="AN98" s="141">
        <f t="shared" ref="AN98:BS98" si="879">AN97/AI97-1</f>
        <v>0.261013273629845</v>
      </c>
      <c r="AO98" s="141">
        <f t="shared" si="879"/>
        <v>0.212390930402622</v>
      </c>
      <c r="AP98" s="141">
        <f t="shared" si="879"/>
        <v>0.178482599594072</v>
      </c>
      <c r="AQ98" s="140">
        <f t="shared" si="879"/>
        <v>0.228124022229837</v>
      </c>
      <c r="AR98" s="141">
        <f t="shared" si="879"/>
        <v>0.00683065899134094</v>
      </c>
      <c r="AS98" s="141">
        <f t="shared" si="879"/>
        <v>0.00528618793143076</v>
      </c>
      <c r="AT98" s="141">
        <f t="shared" si="879"/>
        <v>0.0137067138104801</v>
      </c>
      <c r="AU98" s="141">
        <f t="shared" si="879"/>
        <v>0.0185724557318656</v>
      </c>
      <c r="AV98" s="140">
        <f t="shared" si="879"/>
        <v>0.0114038918813995</v>
      </c>
      <c r="AW98" s="141">
        <f t="shared" si="879"/>
        <v>0.220177559194159</v>
      </c>
      <c r="AX98" s="141">
        <f t="shared" si="879"/>
        <v>0.207229246395332</v>
      </c>
      <c r="AY98" s="141">
        <f t="shared" si="879"/>
        <v>0.188203221975668</v>
      </c>
      <c r="AZ98" s="141">
        <f t="shared" si="879"/>
        <v>0.187187395273938</v>
      </c>
      <c r="BA98" s="140">
        <f t="shared" si="879"/>
        <v>0.199848862873045</v>
      </c>
      <c r="BB98" s="141">
        <f t="shared" si="879"/>
        <v>0.23002644796441</v>
      </c>
      <c r="BC98" s="141">
        <f t="shared" si="879"/>
        <v>0.256357665343827</v>
      </c>
      <c r="BD98" s="141">
        <f t="shared" si="879"/>
        <v>0.257124074561065</v>
      </c>
      <c r="BE98" s="141">
        <f t="shared" si="879"/>
        <v>0.234367281516077</v>
      </c>
      <c r="BF98" s="140">
        <f t="shared" si="879"/>
        <v>0.24444910975817</v>
      </c>
      <c r="BG98" s="141">
        <f t="shared" si="879"/>
        <v>0.23557973337607</v>
      </c>
      <c r="BH98" s="141">
        <f t="shared" si="879"/>
        <v>0.197938825751867</v>
      </c>
      <c r="BI98" s="141">
        <f t="shared" si="879"/>
        <v>0.160858462747804</v>
      </c>
      <c r="BJ98" s="141">
        <f t="shared" si="879"/>
        <v>0.149426853266196</v>
      </c>
      <c r="BK98" s="140">
        <f t="shared" si="879"/>
        <v>0.184116451506656</v>
      </c>
      <c r="BL98" s="141">
        <f t="shared" si="879"/>
        <v>0.166472502746451</v>
      </c>
      <c r="BM98" s="141">
        <f t="shared" si="879"/>
        <v>0.165116489762116</v>
      </c>
      <c r="BN98" s="141">
        <f t="shared" si="879"/>
        <v>0.134264978661014</v>
      </c>
      <c r="BO98" s="141">
        <f t="shared" si="879"/>
        <v>0.0779887069899055</v>
      </c>
      <c r="BP98" s="140">
        <f t="shared" si="879"/>
        <v>0.135006784260516</v>
      </c>
      <c r="BQ98" s="141">
        <f t="shared" si="879"/>
        <v>0.123268688970311</v>
      </c>
      <c r="BR98" s="141">
        <f t="shared" si="879"/>
        <v>0.150696403262686</v>
      </c>
      <c r="BS98" s="141">
        <f t="shared" si="879"/>
        <v>0.190890936732573</v>
      </c>
      <c r="BT98" s="141">
        <f t="shared" ref="BT98:CT98" si="880">BT97/BO97-1</f>
        <v>0.270062970613781</v>
      </c>
      <c r="BU98" s="140">
        <f t="shared" si="880"/>
        <v>0.18350268977884</v>
      </c>
      <c r="BV98" s="141">
        <f t="shared" si="880"/>
        <v>0.294260453870417</v>
      </c>
      <c r="BW98" s="141">
        <f t="shared" si="880"/>
        <v>0.300178607783259</v>
      </c>
      <c r="BX98" s="141">
        <f t="shared" si="880"/>
        <v>0.298556536383785</v>
      </c>
      <c r="BY98" s="141">
        <f t="shared" si="880"/>
        <v>0.292633246130369</v>
      </c>
      <c r="BZ98" s="140">
        <f t="shared" si="880"/>
        <v>0.296373737373737</v>
      </c>
      <c r="CA98" s="141">
        <f t="shared" si="880"/>
        <v>0.0723382794617817</v>
      </c>
      <c r="CB98" s="141">
        <f t="shared" si="880"/>
        <v>0.0371674143949756</v>
      </c>
      <c r="CC98" s="141">
        <f t="shared" si="880"/>
        <v>0.0347175854153128</v>
      </c>
      <c r="CD98" s="141">
        <f t="shared" si="880"/>
        <v>0.00806408694484539</v>
      </c>
      <c r="CE98" s="140">
        <f t="shared" si="880"/>
        <v>0.0371198603719776</v>
      </c>
      <c r="CF98" s="141">
        <f t="shared" si="880"/>
        <v>0.19251672312823</v>
      </c>
      <c r="CG98" s="141">
        <f t="shared" si="880"/>
        <v>0.189164570765329</v>
      </c>
      <c r="CH98" s="141">
        <f t="shared" si="880"/>
        <v>0.190677476153002</v>
      </c>
      <c r="CI98" s="141">
        <f t="shared" si="880"/>
        <v>0.216658487586298</v>
      </c>
      <c r="CJ98" s="140">
        <f t="shared" si="880"/>
        <v>0.197426843469442</v>
      </c>
      <c r="CK98" s="141">
        <f t="shared" si="880"/>
        <v>0.165620461985396</v>
      </c>
      <c r="CL98" s="141">
        <f t="shared" si="880"/>
        <v>0.177245860017786</v>
      </c>
      <c r="CM98" s="141">
        <f t="shared" si="880"/>
        <v>0.188570606351992</v>
      </c>
      <c r="CN98" s="141">
        <f t="shared" si="880"/>
        <v>0.197900696334452</v>
      </c>
      <c r="CO98" s="140">
        <f t="shared" si="880"/>
        <v>0.182675747489546</v>
      </c>
      <c r="CP98" s="141">
        <f t="shared" si="880"/>
        <v>0.221529335800571</v>
      </c>
      <c r="CQ98" s="141">
        <f t="shared" si="880"/>
        <v>0.210011389169701</v>
      </c>
      <c r="CR98" s="141">
        <f t="shared" si="880"/>
        <v>0.187464805002203</v>
      </c>
      <c r="CS98" s="141">
        <f t="shared" si="880"/>
        <v>0.168995894470614</v>
      </c>
      <c r="CT98" s="140">
        <f t="shared" si="880"/>
        <v>0.196207937442639</v>
      </c>
      <c r="CU98" s="141">
        <f t="shared" ref="CU98:CV98" si="881">CU97/CP97-1</f>
        <v>0.192148651025806</v>
      </c>
      <c r="CV98" s="141">
        <f t="shared" si="881"/>
        <v>0.185233119468859</v>
      </c>
      <c r="CW98" s="141">
        <f t="shared" ref="CW98:CY98" si="882">CW97/CR97-1</f>
        <v>0.19518230608192</v>
      </c>
      <c r="CX98" s="141">
        <f t="shared" si="882"/>
        <v>0.19817260438326</v>
      </c>
      <c r="CY98" s="140">
        <f t="shared" si="882"/>
        <v>0.192760905430097</v>
      </c>
      <c r="CZ98" s="141">
        <f t="shared" ref="CZ98:DA98" si="883">CZ97/CU97-1</f>
        <v>0.133184242839778</v>
      </c>
      <c r="DA98" s="141">
        <f t="shared" si="883"/>
        <v>0.137717012761759</v>
      </c>
      <c r="DB98" s="141">
        <f t="shared" ref="DB98:DD98" si="884">DB97/CW97-1</f>
        <v>0.126849737957014</v>
      </c>
      <c r="DC98" s="141">
        <f t="shared" si="884"/>
        <v>0.111329726578302</v>
      </c>
      <c r="DD98" s="140">
        <f t="shared" si="884"/>
        <v>0.127028036966185</v>
      </c>
      <c r="DE98" s="141">
        <f t="shared" ref="DE98:DF98" si="885">DE97/CZ97-1</f>
        <v>0.156370716653509</v>
      </c>
      <c r="DF98" s="141">
        <f t="shared" si="885"/>
        <v>0.153562066703238</v>
      </c>
      <c r="DG98" s="141">
        <f t="shared" ref="DG98:DI98" si="886">DG97/DB97-1</f>
        <v>0.147715907153843</v>
      </c>
      <c r="DH98" s="141">
        <f t="shared" si="886"/>
        <v>0.14270791757539</v>
      </c>
      <c r="DI98" s="140">
        <f t="shared" si="886"/>
        <v>0.15</v>
      </c>
      <c r="DJ98" s="141">
        <f t="shared" ref="DJ98:DK98" si="887">DJ97/DE97-1</f>
        <v>0.153034214599045</v>
      </c>
      <c r="DK98" s="141">
        <f t="shared" si="887"/>
        <v>0.14994973177397</v>
      </c>
      <c r="DL98" s="141">
        <f t="shared" ref="DL98:DN98" si="888">DL97/DG97-1</f>
        <v>0.148803028120647</v>
      </c>
      <c r="DM98" s="141">
        <f t="shared" si="888"/>
        <v>0.148294346416416</v>
      </c>
      <c r="DN98" s="140">
        <f t="shared" si="888"/>
        <v>0.15</v>
      </c>
      <c r="DO98" s="141">
        <f t="shared" ref="DO98:DP98" si="889">DO97/DJ97-1</f>
        <v>0.150515543729463</v>
      </c>
      <c r="DP98" s="141">
        <f t="shared" si="889"/>
        <v>0.150276876709101</v>
      </c>
      <c r="DQ98" s="141">
        <f t="shared" ref="DQ98:DS98" si="890">DQ97/DL97-1</f>
        <v>0.14985426550756</v>
      </c>
      <c r="DR98" s="141">
        <f t="shared" si="890"/>
        <v>0.149372257458042</v>
      </c>
      <c r="DS98" s="140">
        <f t="shared" si="890"/>
        <v>0.15</v>
      </c>
    </row>
    <row r="99" s="4" customFormat="1" spans="2:123">
      <c r="B99" s="144" t="s">
        <v>186</v>
      </c>
      <c r="C99" s="140">
        <f t="shared" ref="C99:AH99" si="891">-C97/C$13</f>
        <v>0.0400009816191808</v>
      </c>
      <c r="D99" s="141">
        <f t="shared" si="891"/>
        <v>0.0436474212265668</v>
      </c>
      <c r="E99" s="141">
        <f t="shared" si="891"/>
        <v>0.0457181329069954</v>
      </c>
      <c r="F99" s="141">
        <f t="shared" si="891"/>
        <v>0.0433175000111869</v>
      </c>
      <c r="G99" s="141">
        <f t="shared" si="891"/>
        <v>0.0340616768327775</v>
      </c>
      <c r="H99" s="140">
        <f t="shared" si="891"/>
        <v>0.0404140812501093</v>
      </c>
      <c r="I99" s="141">
        <f t="shared" si="891"/>
        <v>0.0683282505649596</v>
      </c>
      <c r="J99" s="141">
        <f t="shared" si="891"/>
        <v>0.0663326962883946</v>
      </c>
      <c r="K99" s="141">
        <f t="shared" si="891"/>
        <v>0.0666839457528054</v>
      </c>
      <c r="L99" s="141">
        <f t="shared" si="891"/>
        <v>0.0520686413537076</v>
      </c>
      <c r="M99" s="140">
        <f t="shared" si="891"/>
        <v>0.0617927276595546</v>
      </c>
      <c r="N99" s="141">
        <f t="shared" si="891"/>
        <v>0.0871920148443541</v>
      </c>
      <c r="O99" s="141">
        <f t="shared" si="891"/>
        <v>0.0759419076474782</v>
      </c>
      <c r="P99" s="141">
        <f t="shared" si="891"/>
        <v>0.0762924082873898</v>
      </c>
      <c r="Q99" s="141">
        <f t="shared" si="891"/>
        <v>0.0532656108120661</v>
      </c>
      <c r="R99" s="140">
        <f t="shared" si="891"/>
        <v>0.0691856275717354</v>
      </c>
      <c r="S99" s="141">
        <f t="shared" si="891"/>
        <v>0.0865952082741974</v>
      </c>
      <c r="T99" s="141">
        <f t="shared" si="891"/>
        <v>0.0883660820244558</v>
      </c>
      <c r="U99" s="141">
        <f t="shared" si="891"/>
        <v>0.101308199424011</v>
      </c>
      <c r="V99" s="141">
        <f t="shared" si="891"/>
        <v>0.0919925155022973</v>
      </c>
      <c r="W99" s="140">
        <f t="shared" si="891"/>
        <v>0.0922153083522239</v>
      </c>
      <c r="X99" s="141">
        <f t="shared" si="891"/>
        <v>0.12380944682917</v>
      </c>
      <c r="Y99" s="141">
        <f t="shared" si="891"/>
        <v>0.104014724161403</v>
      </c>
      <c r="Z99" s="141">
        <f t="shared" si="891"/>
        <v>0.0914105162332355</v>
      </c>
      <c r="AA99" s="141">
        <f t="shared" si="891"/>
        <v>0.0687545728997097</v>
      </c>
      <c r="AB99" s="140">
        <f t="shared" si="891"/>
        <v>0.0919390237978529</v>
      </c>
      <c r="AC99" s="141">
        <f t="shared" si="891"/>
        <v>0.0888661684217276</v>
      </c>
      <c r="AD99" s="141">
        <f t="shared" si="891"/>
        <v>0.0850271218644216</v>
      </c>
      <c r="AE99" s="141">
        <f t="shared" si="891"/>
        <v>0.0778700630314269</v>
      </c>
      <c r="AF99" s="141">
        <f t="shared" si="891"/>
        <v>0.0576600159744563</v>
      </c>
      <c r="AG99" s="140">
        <f t="shared" si="891"/>
        <v>0.0745689219113564</v>
      </c>
      <c r="AH99" s="141">
        <f t="shared" si="891"/>
        <v>0.0800399363960108</v>
      </c>
      <c r="AI99" s="141">
        <f t="shared" ref="AI99:BN99" si="892">-AI97/AI$13</f>
        <v>0.0743020575074521</v>
      </c>
      <c r="AJ99" s="141">
        <f t="shared" si="892"/>
        <v>0.0757045063261044</v>
      </c>
      <c r="AK99" s="141">
        <f t="shared" si="892"/>
        <v>0.0510409030346358</v>
      </c>
      <c r="AL99" s="140">
        <f t="shared" si="892"/>
        <v>0.0670607360424604</v>
      </c>
      <c r="AM99" s="141">
        <f t="shared" si="892"/>
        <v>0.0667031551024527</v>
      </c>
      <c r="AN99" s="141">
        <f t="shared" si="892"/>
        <v>0.0703871101628615</v>
      </c>
      <c r="AO99" s="141">
        <f t="shared" si="892"/>
        <v>0.0667537137982875</v>
      </c>
      <c r="AP99" s="141">
        <f t="shared" si="892"/>
        <v>0.046026942372073</v>
      </c>
      <c r="AQ99" s="140">
        <f t="shared" si="892"/>
        <v>0.060149124996169</v>
      </c>
      <c r="AR99" s="141">
        <f t="shared" si="892"/>
        <v>0.0554890930933796</v>
      </c>
      <c r="AS99" s="141">
        <f t="shared" si="892"/>
        <v>0.0580499220899901</v>
      </c>
      <c r="AT99" s="141">
        <f t="shared" si="892"/>
        <v>0.0563823202045088</v>
      </c>
      <c r="AU99" s="141">
        <f t="shared" si="892"/>
        <v>0.0436901727226726</v>
      </c>
      <c r="AV99" s="140">
        <f t="shared" si="892"/>
        <v>0.0523935575180305</v>
      </c>
      <c r="AW99" s="141">
        <f t="shared" si="892"/>
        <v>0.0608700189503511</v>
      </c>
      <c r="AX99" s="141">
        <f t="shared" si="892"/>
        <v>0.0617907662595401</v>
      </c>
      <c r="AY99" s="141">
        <f t="shared" si="892"/>
        <v>0.0606846258804144</v>
      </c>
      <c r="AZ99" s="141">
        <f t="shared" si="892"/>
        <v>0.0448539011423331</v>
      </c>
      <c r="BA99" s="140">
        <f t="shared" si="892"/>
        <v>0.0556579364681924</v>
      </c>
      <c r="BB99" s="141">
        <f t="shared" si="892"/>
        <v>0.0679906132037616</v>
      </c>
      <c r="BC99" s="141">
        <f t="shared" si="892"/>
        <v>0.0669580054829768</v>
      </c>
      <c r="BD99" s="141">
        <f t="shared" si="892"/>
        <v>0.0666987546787082</v>
      </c>
      <c r="BE99" s="141">
        <f t="shared" si="892"/>
        <v>0.0473626986143061</v>
      </c>
      <c r="BF99" s="140">
        <f t="shared" si="892"/>
        <v>0.0604123322088615</v>
      </c>
      <c r="BG99" s="141">
        <f t="shared" si="892"/>
        <v>0.0718059753787041</v>
      </c>
      <c r="BH99" s="141">
        <f t="shared" si="892"/>
        <v>0.0706224333508269</v>
      </c>
      <c r="BI99" s="141">
        <f t="shared" si="892"/>
        <v>0.0682227934087993</v>
      </c>
      <c r="BJ99" s="141">
        <f t="shared" si="892"/>
        <v>0.0485362883258649</v>
      </c>
      <c r="BK99" s="140">
        <f t="shared" si="892"/>
        <v>0.0628734443727841</v>
      </c>
      <c r="BL99" s="141">
        <f t="shared" si="892"/>
        <v>0.0797688084727898</v>
      </c>
      <c r="BM99" s="141">
        <f t="shared" si="892"/>
        <v>0.072861447013807</v>
      </c>
      <c r="BN99" s="141">
        <f t="shared" si="892"/>
        <v>0.0680550563981678</v>
      </c>
      <c r="BO99" s="141">
        <f t="shared" ref="BO99:CT99" si="893">-BO97/BO$13</f>
        <v>0.0445002062430329</v>
      </c>
      <c r="BP99" s="140">
        <f t="shared" si="893"/>
        <v>0.0631517359177857</v>
      </c>
      <c r="BQ99" s="141">
        <f t="shared" si="893"/>
        <v>0.0717613002329909</v>
      </c>
      <c r="BR99" s="141">
        <f t="shared" si="893"/>
        <v>0.0673343244640796</v>
      </c>
      <c r="BS99" s="141">
        <f t="shared" si="893"/>
        <v>0.0671035736195723</v>
      </c>
      <c r="BT99" s="141">
        <f t="shared" si="893"/>
        <v>0.0449615997943752</v>
      </c>
      <c r="BU99" s="140">
        <f t="shared" si="893"/>
        <v>0.0602131362559411</v>
      </c>
      <c r="BV99" s="141">
        <f t="shared" si="893"/>
        <v>0.0771287780497625</v>
      </c>
      <c r="BW99" s="141">
        <f t="shared" si="893"/>
        <v>0.0717041451199522</v>
      </c>
      <c r="BX99" s="141">
        <f t="shared" si="893"/>
        <v>0.0711155987337627</v>
      </c>
      <c r="BY99" s="141">
        <f t="shared" si="893"/>
        <v>0.0485538461538462</v>
      </c>
      <c r="BZ99" s="140">
        <f t="shared" si="893"/>
        <v>0.0645048447364804</v>
      </c>
      <c r="CA99" s="141">
        <f t="shared" si="893"/>
        <v>0.0992447710824319</v>
      </c>
      <c r="CB99" s="141">
        <f t="shared" si="893"/>
        <v>0.0727559492144849</v>
      </c>
      <c r="CC99" s="141">
        <f t="shared" si="893"/>
        <v>0.0603268726271111</v>
      </c>
      <c r="CD99" s="141">
        <f t="shared" si="893"/>
        <v>0.0395484961166565</v>
      </c>
      <c r="CE99" s="140">
        <f t="shared" si="893"/>
        <v>0.0604764465356726</v>
      </c>
      <c r="CF99" s="141">
        <f t="shared" si="893"/>
        <v>0.0629122679430902</v>
      </c>
      <c r="CG99" s="141">
        <f t="shared" si="893"/>
        <v>0.0538537341679001</v>
      </c>
      <c r="CH99" s="141">
        <f t="shared" si="893"/>
        <v>0.0553387879982571</v>
      </c>
      <c r="CI99" s="141">
        <f t="shared" si="893"/>
        <v>0.039087313282238</v>
      </c>
      <c r="CJ99" s="140">
        <f t="shared" si="893"/>
        <v>0.0509487795081591</v>
      </c>
      <c r="CK99" s="141">
        <f t="shared" si="893"/>
        <v>0.0557432836304587</v>
      </c>
      <c r="CL99" s="141">
        <f t="shared" si="893"/>
        <v>0.0492246836468775</v>
      </c>
      <c r="CM99" s="141">
        <f t="shared" si="893"/>
        <v>0.0513762929536611</v>
      </c>
      <c r="CN99" s="141">
        <f t="shared" si="893"/>
        <v>0.0359654302916386</v>
      </c>
      <c r="CO99" s="140">
        <f t="shared" si="893"/>
        <v>0.0464826044403083</v>
      </c>
      <c r="CP99" s="141">
        <f t="shared" si="893"/>
        <v>0.0549102621954381</v>
      </c>
      <c r="CQ99" s="141">
        <f t="shared" si="893"/>
        <v>0.0503729471014229</v>
      </c>
      <c r="CR99" s="141">
        <f t="shared" si="893"/>
        <v>0.0513942946545073</v>
      </c>
      <c r="CS99" s="141">
        <f t="shared" si="893"/>
        <v>0.0363600188896835</v>
      </c>
      <c r="CT99" s="140">
        <f t="shared" si="893"/>
        <v>0.0468816890415268</v>
      </c>
      <c r="CU99" s="141">
        <f t="shared" ref="CU99:DN99" si="894">-CU97/CU$13</f>
        <v>0.0592941142292547</v>
      </c>
      <c r="CV99" s="141">
        <f t="shared" si="894"/>
        <v>0.0556267199058074</v>
      </c>
      <c r="CW99" s="141">
        <f t="shared" si="894"/>
        <v>0.0564933309300649</v>
      </c>
      <c r="CX99" s="141">
        <f t="shared" si="894"/>
        <v>0.0386632375544978</v>
      </c>
      <c r="CY99" s="140">
        <f t="shared" si="894"/>
        <v>0.0508019077219142</v>
      </c>
      <c r="CZ99" s="141">
        <f t="shared" si="894"/>
        <v>0.0626061685903738</v>
      </c>
      <c r="DA99" s="141">
        <f t="shared" si="894"/>
        <v>0.0594243577932121</v>
      </c>
      <c r="DB99" s="141">
        <f t="shared" si="894"/>
        <v>0.0594602192031914</v>
      </c>
      <c r="DC99" s="141">
        <f t="shared" si="894"/>
        <v>0.0426217684925582</v>
      </c>
      <c r="DD99" s="140">
        <f t="shared" si="894"/>
        <v>0.0546020751895952</v>
      </c>
      <c r="DE99" s="141">
        <f t="shared" si="894"/>
        <v>0.0694392097819541</v>
      </c>
      <c r="DF99" s="141">
        <f t="shared" ref="DF99" si="895">-DF97/DF$13</f>
        <v>0.0716595237339021</v>
      </c>
      <c r="DG99" s="141">
        <f t="shared" si="894"/>
        <v>0.0756209451865333</v>
      </c>
      <c r="DH99" s="141">
        <f t="shared" si="894"/>
        <v>0.0543304278912665</v>
      </c>
      <c r="DI99" s="140">
        <f t="shared" si="894"/>
        <v>0.0666079312595037</v>
      </c>
      <c r="DJ99" s="141">
        <f t="shared" si="894"/>
        <v>0.0838145386624821</v>
      </c>
      <c r="DK99" s="141">
        <f t="shared" si="894"/>
        <v>0.0854444264426344</v>
      </c>
      <c r="DL99" s="141">
        <f t="shared" si="894"/>
        <v>0.0872671224539243</v>
      </c>
      <c r="DM99" s="141">
        <f t="shared" si="894"/>
        <v>0.0632154601295906</v>
      </c>
      <c r="DN99" s="140">
        <f t="shared" si="894"/>
        <v>0.0784710319886636</v>
      </c>
      <c r="DO99" s="141">
        <f t="shared" ref="DO99:DS99" si="896">-DO97/DO$13</f>
        <v>0.0951825486935665</v>
      </c>
      <c r="DP99" s="141">
        <f t="shared" si="896"/>
        <v>0.0971777215098508</v>
      </c>
      <c r="DQ99" s="141">
        <f t="shared" si="896"/>
        <v>0.0987830595114685</v>
      </c>
      <c r="DR99" s="141">
        <f t="shared" si="896"/>
        <v>0.0722064933349306</v>
      </c>
      <c r="DS99" s="140">
        <f t="shared" si="896"/>
        <v>0.0892453409207587</v>
      </c>
    </row>
    <row r="100" s="88" customFormat="1" spans="2:123">
      <c r="B100" s="208" t="s">
        <v>326</v>
      </c>
      <c r="C100" s="220"/>
      <c r="D100" s="125"/>
      <c r="E100" s="125"/>
      <c r="F100" s="125"/>
      <c r="G100" s="125"/>
      <c r="H100" s="124"/>
      <c r="I100" s="125"/>
      <c r="J100" s="125"/>
      <c r="K100" s="125"/>
      <c r="L100" s="125"/>
      <c r="M100" s="124"/>
      <c r="N100" s="125"/>
      <c r="O100" s="125"/>
      <c r="P100" s="125"/>
      <c r="Q100" s="125"/>
      <c r="R100" s="124"/>
      <c r="S100" s="125"/>
      <c r="T100" s="125"/>
      <c r="U100" s="125"/>
      <c r="V100" s="125"/>
      <c r="W100" s="124"/>
      <c r="X100" s="125"/>
      <c r="Y100" s="125"/>
      <c r="Z100" s="125"/>
      <c r="AA100" s="125"/>
      <c r="AB100" s="124"/>
      <c r="AC100" s="125"/>
      <c r="AD100" s="125"/>
      <c r="AE100" s="125"/>
      <c r="AF100" s="125"/>
      <c r="AG100" s="124"/>
      <c r="AH100" s="125"/>
      <c r="AI100" s="125"/>
      <c r="AJ100" s="125"/>
      <c r="AK100" s="125"/>
      <c r="AL100" s="124"/>
      <c r="AM100" s="125"/>
      <c r="AN100" s="125"/>
      <c r="AO100" s="125"/>
      <c r="AP100" s="125"/>
      <c r="AQ100" s="124"/>
      <c r="AR100" s="125"/>
      <c r="AS100" s="125"/>
      <c r="AT100" s="125"/>
      <c r="AU100" s="125"/>
      <c r="AV100" s="124"/>
      <c r="AW100" s="125"/>
      <c r="AX100" s="125"/>
      <c r="AY100" s="125"/>
      <c r="AZ100" s="125"/>
      <c r="BA100" s="124"/>
      <c r="BB100" s="125"/>
      <c r="BC100" s="125"/>
      <c r="BD100" s="125"/>
      <c r="BE100" s="125"/>
      <c r="BF100" s="124"/>
      <c r="BG100" s="125"/>
      <c r="BH100" s="125"/>
      <c r="BI100" s="125"/>
      <c r="BJ100" s="125"/>
      <c r="BK100" s="124"/>
      <c r="BL100" s="125"/>
      <c r="BM100" s="125"/>
      <c r="BN100" s="125"/>
      <c r="BO100" s="125"/>
      <c r="BP100" s="124"/>
      <c r="BQ100" s="125"/>
      <c r="BR100" s="125"/>
      <c r="BS100" s="125"/>
      <c r="BT100" s="125"/>
      <c r="BU100" s="124">
        <v>-79.5</v>
      </c>
      <c r="BV100" s="125"/>
      <c r="BW100" s="125"/>
      <c r="BX100" s="125"/>
      <c r="BY100" s="125"/>
      <c r="BZ100" s="124">
        <v>-106.7</v>
      </c>
      <c r="CA100" s="125"/>
      <c r="CB100" s="125"/>
      <c r="CC100" s="125"/>
      <c r="CD100" s="125"/>
      <c r="CE100" s="124">
        <v>-232.4</v>
      </c>
      <c r="CF100" s="125"/>
      <c r="CG100" s="125"/>
      <c r="CH100" s="125"/>
      <c r="CI100" s="125"/>
      <c r="CJ100" s="124">
        <v>-270.8</v>
      </c>
      <c r="CK100" s="125"/>
      <c r="CL100" s="125"/>
      <c r="CM100" s="125"/>
      <c r="CN100" s="125"/>
      <c r="CO100" s="231">
        <v>-353.7</v>
      </c>
      <c r="CP100" s="125"/>
      <c r="CQ100" s="125"/>
      <c r="CR100" s="125"/>
      <c r="CS100" s="125"/>
      <c r="CT100" s="127">
        <v>-374.2</v>
      </c>
      <c r="CU100" s="126"/>
      <c r="CV100" s="126"/>
      <c r="CW100" s="126"/>
      <c r="CX100" s="126"/>
      <c r="CY100" s="127">
        <v>-349</v>
      </c>
      <c r="CZ100" s="126"/>
      <c r="DA100" s="126"/>
      <c r="DB100" s="126"/>
      <c r="DC100" s="126"/>
      <c r="DD100" s="127">
        <v>-359.732</v>
      </c>
      <c r="DE100" s="126"/>
      <c r="DF100" s="126"/>
      <c r="DG100" s="126"/>
      <c r="DH100" s="126"/>
      <c r="DI100" s="127"/>
      <c r="DJ100" s="126"/>
      <c r="DK100" s="126"/>
      <c r="DL100" s="126"/>
      <c r="DM100" s="126"/>
      <c r="DN100" s="127"/>
      <c r="DO100" s="126"/>
      <c r="DP100" s="126"/>
      <c r="DQ100" s="126"/>
      <c r="DR100" s="126"/>
      <c r="DS100" s="127"/>
    </row>
    <row r="101" s="88" customFormat="1" spans="2:123">
      <c r="B101" s="144" t="s">
        <v>186</v>
      </c>
      <c r="C101" s="220"/>
      <c r="D101" s="125"/>
      <c r="E101" s="125"/>
      <c r="F101" s="125"/>
      <c r="G101" s="125"/>
      <c r="H101" s="124"/>
      <c r="I101" s="125"/>
      <c r="J101" s="125"/>
      <c r="K101" s="125"/>
      <c r="L101" s="125"/>
      <c r="M101" s="124"/>
      <c r="N101" s="125"/>
      <c r="O101" s="125"/>
      <c r="P101" s="125"/>
      <c r="Q101" s="125"/>
      <c r="R101" s="124"/>
      <c r="S101" s="125"/>
      <c r="T101" s="125"/>
      <c r="U101" s="125"/>
      <c r="V101" s="125"/>
      <c r="W101" s="124"/>
      <c r="X101" s="125"/>
      <c r="Y101" s="125"/>
      <c r="Z101" s="125"/>
      <c r="AA101" s="125"/>
      <c r="AB101" s="124"/>
      <c r="AC101" s="125"/>
      <c r="AD101" s="125"/>
      <c r="AE101" s="125"/>
      <c r="AF101" s="125"/>
      <c r="AG101" s="124"/>
      <c r="AH101" s="125"/>
      <c r="AI101" s="125"/>
      <c r="AJ101" s="125"/>
      <c r="AK101" s="125"/>
      <c r="AL101" s="124"/>
      <c r="AM101" s="125"/>
      <c r="AN101" s="125"/>
      <c r="AO101" s="125"/>
      <c r="AP101" s="125"/>
      <c r="AQ101" s="124"/>
      <c r="AR101" s="125"/>
      <c r="AS101" s="125"/>
      <c r="AT101" s="125"/>
      <c r="AU101" s="125"/>
      <c r="AV101" s="124"/>
      <c r="AW101" s="125"/>
      <c r="AX101" s="125"/>
      <c r="AY101" s="125"/>
      <c r="AZ101" s="125"/>
      <c r="BA101" s="124"/>
      <c r="BB101" s="125"/>
      <c r="BC101" s="125"/>
      <c r="BD101" s="125"/>
      <c r="BE101" s="125"/>
      <c r="BF101" s="124"/>
      <c r="BG101" s="125"/>
      <c r="BH101" s="125"/>
      <c r="BI101" s="125"/>
      <c r="BJ101" s="125"/>
      <c r="BK101" s="124"/>
      <c r="BL101" s="125"/>
      <c r="BM101" s="125"/>
      <c r="BN101" s="125"/>
      <c r="BO101" s="125"/>
      <c r="BP101" s="124"/>
      <c r="BQ101" s="125"/>
      <c r="BR101" s="125"/>
      <c r="BS101" s="125"/>
      <c r="BT101" s="125"/>
      <c r="BU101" s="124"/>
      <c r="BV101" s="125"/>
      <c r="BW101" s="125"/>
      <c r="BX101" s="125"/>
      <c r="BY101" s="125"/>
      <c r="BZ101" s="124"/>
      <c r="CA101" s="125"/>
      <c r="CB101" s="125"/>
      <c r="CC101" s="125"/>
      <c r="CD101" s="125"/>
      <c r="CE101" s="124"/>
      <c r="CF101" s="125"/>
      <c r="CG101" s="125"/>
      <c r="CH101" s="125"/>
      <c r="CI101" s="125"/>
      <c r="CJ101" s="124"/>
      <c r="CK101" s="125"/>
      <c r="CL101" s="125"/>
      <c r="CM101" s="125"/>
      <c r="CN101" s="125"/>
      <c r="CO101" s="232">
        <f>-CO100/CO13</f>
        <v>0.0436100382244389</v>
      </c>
      <c r="CP101" s="125"/>
      <c r="CQ101" s="125"/>
      <c r="CR101" s="125"/>
      <c r="CS101" s="125"/>
      <c r="CT101" s="140">
        <f>-CT100/CT13</f>
        <v>0.0389010484986503</v>
      </c>
      <c r="CU101" s="126"/>
      <c r="CV101" s="126"/>
      <c r="CW101" s="126"/>
      <c r="CX101" s="126"/>
      <c r="CY101" s="140">
        <f>-CY100/CY13</f>
        <v>0.0329614513465367</v>
      </c>
      <c r="CZ101" s="126"/>
      <c r="DA101" s="126"/>
      <c r="DB101" s="126"/>
      <c r="DC101" s="126"/>
      <c r="DD101" s="140">
        <f>-DD100/DD13</f>
        <v>0.0324006989353845</v>
      </c>
      <c r="DE101" s="126"/>
      <c r="DF101" s="126"/>
      <c r="DG101" s="126"/>
      <c r="DH101" s="126"/>
      <c r="DI101" s="127"/>
      <c r="DJ101" s="126"/>
      <c r="DK101" s="126"/>
      <c r="DL101" s="126"/>
      <c r="DM101" s="126"/>
      <c r="DN101" s="127"/>
      <c r="DO101" s="126"/>
      <c r="DP101" s="126"/>
      <c r="DQ101" s="126"/>
      <c r="DR101" s="126"/>
      <c r="DS101" s="127"/>
    </row>
    <row r="102" s="88" customFormat="1" spans="2:123">
      <c r="B102" s="208" t="s">
        <v>327</v>
      </c>
      <c r="C102" s="220"/>
      <c r="D102" s="125"/>
      <c r="E102" s="125"/>
      <c r="F102" s="125"/>
      <c r="G102" s="125"/>
      <c r="H102" s="124"/>
      <c r="I102" s="125"/>
      <c r="J102" s="125"/>
      <c r="K102" s="125"/>
      <c r="L102" s="125"/>
      <c r="M102" s="124"/>
      <c r="N102" s="125"/>
      <c r="O102" s="125"/>
      <c r="P102" s="125"/>
      <c r="Q102" s="125"/>
      <c r="R102" s="124"/>
      <c r="S102" s="125"/>
      <c r="T102" s="125"/>
      <c r="U102" s="125"/>
      <c r="V102" s="125"/>
      <c r="W102" s="124"/>
      <c r="X102" s="125"/>
      <c r="Y102" s="125"/>
      <c r="Z102" s="125"/>
      <c r="AA102" s="125"/>
      <c r="AB102" s="124"/>
      <c r="AC102" s="125"/>
      <c r="AD102" s="125"/>
      <c r="AE102" s="125"/>
      <c r="AF102" s="125"/>
      <c r="AG102" s="124"/>
      <c r="AH102" s="125"/>
      <c r="AI102" s="125"/>
      <c r="AJ102" s="125"/>
      <c r="AK102" s="125"/>
      <c r="AL102" s="124"/>
      <c r="AM102" s="125"/>
      <c r="AN102" s="125"/>
      <c r="AO102" s="125"/>
      <c r="AP102" s="125"/>
      <c r="AQ102" s="124"/>
      <c r="AR102" s="125"/>
      <c r="AS102" s="125"/>
      <c r="AT102" s="125"/>
      <c r="AU102" s="125"/>
      <c r="AV102" s="124"/>
      <c r="AW102" s="125"/>
      <c r="AX102" s="125"/>
      <c r="AY102" s="125"/>
      <c r="AZ102" s="125"/>
      <c r="BA102" s="124"/>
      <c r="BB102" s="125"/>
      <c r="BC102" s="125"/>
      <c r="BD102" s="125"/>
      <c r="BE102" s="125"/>
      <c r="BF102" s="124"/>
      <c r="BG102" s="125"/>
      <c r="BH102" s="125"/>
      <c r="BI102" s="125"/>
      <c r="BJ102" s="125"/>
      <c r="BK102" s="124"/>
      <c r="BL102" s="125"/>
      <c r="BM102" s="125"/>
      <c r="BN102" s="125"/>
      <c r="BO102" s="125"/>
      <c r="BP102" s="124"/>
      <c r="BQ102" s="125"/>
      <c r="BR102" s="125"/>
      <c r="BS102" s="125"/>
      <c r="BT102" s="125"/>
      <c r="BU102" s="124"/>
      <c r="BV102" s="125"/>
      <c r="BW102" s="125"/>
      <c r="BX102" s="125"/>
      <c r="BY102" s="125"/>
      <c r="BZ102" s="124"/>
      <c r="CA102" s="125"/>
      <c r="CB102" s="125"/>
      <c r="CC102" s="125"/>
      <c r="CD102" s="125"/>
      <c r="CE102" s="124"/>
      <c r="CF102" s="125"/>
      <c r="CG102" s="125"/>
      <c r="CH102" s="125"/>
      <c r="CI102" s="125"/>
      <c r="CJ102" s="124"/>
      <c r="CK102" s="125"/>
      <c r="CL102" s="125"/>
      <c r="CM102" s="125"/>
      <c r="CN102" s="125"/>
      <c r="CO102" s="231">
        <v>-328.6</v>
      </c>
      <c r="CP102" s="125"/>
      <c r="CQ102" s="125"/>
      <c r="CR102" s="125"/>
      <c r="CS102" s="125"/>
      <c r="CT102" s="127">
        <v>-429.7</v>
      </c>
      <c r="CU102" s="126"/>
      <c r="CV102" s="126"/>
      <c r="CW102" s="126"/>
      <c r="CX102" s="126"/>
      <c r="CY102" s="127">
        <v>-541.5</v>
      </c>
      <c r="CZ102" s="126"/>
      <c r="DA102" s="126"/>
      <c r="DB102" s="126"/>
      <c r="DC102" s="126"/>
      <c r="DD102" s="127">
        <v>-617.525</v>
      </c>
      <c r="DE102" s="126"/>
      <c r="DF102" s="126"/>
      <c r="DG102" s="126"/>
      <c r="DH102" s="126"/>
      <c r="DI102" s="127"/>
      <c r="DJ102" s="126"/>
      <c r="DK102" s="126"/>
      <c r="DL102" s="126"/>
      <c r="DM102" s="126"/>
      <c r="DN102" s="127"/>
      <c r="DO102" s="126"/>
      <c r="DP102" s="126"/>
      <c r="DQ102" s="126"/>
      <c r="DR102" s="126"/>
      <c r="DS102" s="127"/>
    </row>
    <row r="103" s="88" customFormat="1" spans="2:123">
      <c r="B103" s="144" t="s">
        <v>186</v>
      </c>
      <c r="C103" s="220"/>
      <c r="D103" s="125"/>
      <c r="E103" s="125"/>
      <c r="F103" s="125"/>
      <c r="G103" s="125"/>
      <c r="H103" s="124"/>
      <c r="I103" s="125"/>
      <c r="J103" s="125"/>
      <c r="K103" s="125"/>
      <c r="L103" s="125"/>
      <c r="M103" s="124"/>
      <c r="N103" s="125"/>
      <c r="O103" s="125"/>
      <c r="P103" s="125"/>
      <c r="Q103" s="125"/>
      <c r="R103" s="124"/>
      <c r="S103" s="125"/>
      <c r="T103" s="125"/>
      <c r="U103" s="125"/>
      <c r="V103" s="125"/>
      <c r="W103" s="124"/>
      <c r="X103" s="125"/>
      <c r="Y103" s="125"/>
      <c r="Z103" s="125"/>
      <c r="AA103" s="125"/>
      <c r="AB103" s="124"/>
      <c r="AC103" s="125"/>
      <c r="AD103" s="125"/>
      <c r="AE103" s="125"/>
      <c r="AF103" s="125"/>
      <c r="AG103" s="124"/>
      <c r="AH103" s="125"/>
      <c r="AI103" s="125"/>
      <c r="AJ103" s="125"/>
      <c r="AK103" s="125"/>
      <c r="AL103" s="124"/>
      <c r="AM103" s="125"/>
      <c r="AN103" s="125"/>
      <c r="AO103" s="125"/>
      <c r="AP103" s="125"/>
      <c r="AQ103" s="124"/>
      <c r="AR103" s="125"/>
      <c r="AS103" s="125"/>
      <c r="AT103" s="125"/>
      <c r="AU103" s="125"/>
      <c r="AV103" s="124"/>
      <c r="AW103" s="125"/>
      <c r="AX103" s="125"/>
      <c r="AY103" s="125"/>
      <c r="AZ103" s="125"/>
      <c r="BA103" s="124"/>
      <c r="BB103" s="125"/>
      <c r="BC103" s="125"/>
      <c r="BD103" s="125"/>
      <c r="BE103" s="125"/>
      <c r="BF103" s="124"/>
      <c r="BG103" s="125"/>
      <c r="BH103" s="125"/>
      <c r="BI103" s="125"/>
      <c r="BJ103" s="125"/>
      <c r="BK103" s="124"/>
      <c r="BL103" s="125"/>
      <c r="BM103" s="125"/>
      <c r="BN103" s="125"/>
      <c r="BO103" s="125"/>
      <c r="BP103" s="124"/>
      <c r="BQ103" s="125"/>
      <c r="BR103" s="125"/>
      <c r="BS103" s="125"/>
      <c r="BT103" s="125"/>
      <c r="BU103" s="124"/>
      <c r="BV103" s="125"/>
      <c r="BW103" s="125"/>
      <c r="BX103" s="125"/>
      <c r="BY103" s="125"/>
      <c r="BZ103" s="124"/>
      <c r="CA103" s="125"/>
      <c r="CB103" s="125"/>
      <c r="CC103" s="125"/>
      <c r="CD103" s="125"/>
      <c r="CE103" s="124"/>
      <c r="CF103" s="125"/>
      <c r="CG103" s="125"/>
      <c r="CH103" s="125"/>
      <c r="CI103" s="125"/>
      <c r="CJ103" s="124"/>
      <c r="CK103" s="125"/>
      <c r="CL103" s="125"/>
      <c r="CM103" s="125"/>
      <c r="CN103" s="125"/>
      <c r="CO103" s="232">
        <f>-CO102/CO13</f>
        <v>0.0405152913784298</v>
      </c>
      <c r="CP103" s="125"/>
      <c r="CQ103" s="125"/>
      <c r="CR103" s="125"/>
      <c r="CS103" s="125"/>
      <c r="CT103" s="140">
        <f>-CT102/CT13</f>
        <v>0.0446707122925442</v>
      </c>
      <c r="CU103" s="126"/>
      <c r="CV103" s="126"/>
      <c r="CW103" s="126"/>
      <c r="CX103" s="126"/>
      <c r="CY103" s="140">
        <f>-CY102/CY13</f>
        <v>0.0511421945677639</v>
      </c>
      <c r="CZ103" s="126"/>
      <c r="DA103" s="126"/>
      <c r="DB103" s="126"/>
      <c r="DC103" s="126"/>
      <c r="DD103" s="140">
        <f>-DD102/DD13</f>
        <v>0.0556198548087835</v>
      </c>
      <c r="DE103" s="126"/>
      <c r="DF103" s="126"/>
      <c r="DG103" s="126"/>
      <c r="DH103" s="126"/>
      <c r="DI103" s="127"/>
      <c r="DJ103" s="126"/>
      <c r="DK103" s="126"/>
      <c r="DL103" s="126"/>
      <c r="DM103" s="126"/>
      <c r="DN103" s="127"/>
      <c r="DO103" s="126"/>
      <c r="DP103" s="126"/>
      <c r="DQ103" s="126"/>
      <c r="DR103" s="126"/>
      <c r="DS103" s="127"/>
    </row>
    <row r="104" s="4" customFormat="1" spans="2:123">
      <c r="B104" s="144"/>
      <c r="C104" s="140"/>
      <c r="D104" s="141"/>
      <c r="E104" s="141"/>
      <c r="F104" s="141"/>
      <c r="G104" s="141"/>
      <c r="H104" s="140"/>
      <c r="I104" s="141"/>
      <c r="J104" s="141"/>
      <c r="K104" s="141"/>
      <c r="L104" s="141"/>
      <c r="M104" s="140"/>
      <c r="N104" s="141"/>
      <c r="O104" s="141"/>
      <c r="P104" s="141"/>
      <c r="Q104" s="141"/>
      <c r="R104" s="140"/>
      <c r="S104" s="141"/>
      <c r="T104" s="141"/>
      <c r="U104" s="141"/>
      <c r="V104" s="141"/>
      <c r="W104" s="140"/>
      <c r="X104" s="141"/>
      <c r="Y104" s="141"/>
      <c r="Z104" s="141"/>
      <c r="AA104" s="141"/>
      <c r="AB104" s="140"/>
      <c r="AC104" s="141"/>
      <c r="AD104" s="141"/>
      <c r="AE104" s="141"/>
      <c r="AF104" s="141"/>
      <c r="AG104" s="140"/>
      <c r="AH104" s="141"/>
      <c r="AI104" s="141"/>
      <c r="AJ104" s="141"/>
      <c r="AK104" s="141"/>
      <c r="AL104" s="140"/>
      <c r="AM104" s="141"/>
      <c r="AN104" s="141"/>
      <c r="AO104" s="141"/>
      <c r="AP104" s="141"/>
      <c r="AQ104" s="140"/>
      <c r="AR104" s="141"/>
      <c r="AS104" s="141"/>
      <c r="AT104" s="141"/>
      <c r="AU104" s="141"/>
      <c r="AV104" s="140"/>
      <c r="AW104" s="141"/>
      <c r="AX104" s="141"/>
      <c r="AY104" s="141"/>
      <c r="AZ104" s="141"/>
      <c r="BA104" s="140"/>
      <c r="BB104" s="141"/>
      <c r="BC104" s="141"/>
      <c r="BD104" s="141"/>
      <c r="BE104" s="141"/>
      <c r="BF104" s="140"/>
      <c r="BG104" s="141"/>
      <c r="BH104" s="141"/>
      <c r="BI104" s="141"/>
      <c r="BJ104" s="141"/>
      <c r="BK104" s="140"/>
      <c r="BL104" s="141"/>
      <c r="BM104" s="141"/>
      <c r="BN104" s="141"/>
      <c r="BO104" s="141"/>
      <c r="BP104" s="140"/>
      <c r="BQ104" s="141"/>
      <c r="BR104" s="141"/>
      <c r="BS104" s="141"/>
      <c r="BT104" s="141"/>
      <c r="BU104" s="140"/>
      <c r="BV104" s="141"/>
      <c r="BW104" s="141"/>
      <c r="BX104" s="141"/>
      <c r="BY104" s="141"/>
      <c r="BZ104" s="140"/>
      <c r="CA104" s="141"/>
      <c r="CB104" s="141"/>
      <c r="CC104" s="141"/>
      <c r="CD104" s="141"/>
      <c r="CE104" s="140"/>
      <c r="CF104" s="141"/>
      <c r="CG104" s="141"/>
      <c r="CH104" s="141"/>
      <c r="CI104" s="141"/>
      <c r="CJ104" s="140"/>
      <c r="CK104" s="141"/>
      <c r="CL104" s="141"/>
      <c r="CM104" s="141"/>
      <c r="CN104" s="141"/>
      <c r="CO104" s="140"/>
      <c r="CP104" s="141"/>
      <c r="CQ104" s="141"/>
      <c r="CR104" s="141"/>
      <c r="CS104" s="141"/>
      <c r="CT104" s="140"/>
      <c r="CU104" s="141"/>
      <c r="CV104" s="141"/>
      <c r="CW104" s="141"/>
      <c r="CX104" s="141"/>
      <c r="CY104" s="140"/>
      <c r="CZ104" s="141"/>
      <c r="DA104" s="141"/>
      <c r="DB104" s="141"/>
      <c r="DC104" s="141"/>
      <c r="DD104" s="140"/>
      <c r="DE104" s="141"/>
      <c r="DF104" s="141"/>
      <c r="DG104" s="141"/>
      <c r="DH104" s="141"/>
      <c r="DI104" s="140"/>
      <c r="DJ104" s="141"/>
      <c r="DK104" s="141"/>
      <c r="DL104" s="141"/>
      <c r="DM104" s="141"/>
      <c r="DN104" s="140"/>
      <c r="DO104" s="141"/>
      <c r="DP104" s="141"/>
      <c r="DQ104" s="141"/>
      <c r="DR104" s="141"/>
      <c r="DS104" s="140"/>
    </row>
    <row r="105" spans="2:123">
      <c r="B105" s="130" t="s">
        <v>328</v>
      </c>
      <c r="C105" s="119"/>
      <c r="D105" s="120"/>
      <c r="E105" s="120"/>
      <c r="F105" s="120"/>
      <c r="G105" s="120"/>
      <c r="H105" s="119"/>
      <c r="I105" s="120"/>
      <c r="J105" s="120"/>
      <c r="K105" s="120"/>
      <c r="L105" s="120"/>
      <c r="M105" s="119"/>
      <c r="N105" s="120"/>
      <c r="O105" s="120"/>
      <c r="P105" s="120"/>
      <c r="Q105" s="120"/>
      <c r="R105" s="119"/>
      <c r="S105" s="120"/>
      <c r="T105" s="120"/>
      <c r="U105" s="120"/>
      <c r="V105" s="120"/>
      <c r="W105" s="119"/>
      <c r="X105" s="120"/>
      <c r="Y105" s="120"/>
      <c r="Z105" s="120"/>
      <c r="AA105" s="120"/>
      <c r="AB105" s="119"/>
      <c r="AC105" s="120"/>
      <c r="AD105" s="120"/>
      <c r="AE105" s="120"/>
      <c r="AF105" s="120"/>
      <c r="AG105" s="119"/>
      <c r="AH105" s="120"/>
      <c r="AI105" s="120"/>
      <c r="AJ105" s="120"/>
      <c r="AK105" s="120"/>
      <c r="AL105" s="119"/>
      <c r="AM105" s="120"/>
      <c r="AN105" s="120"/>
      <c r="AO105" s="120"/>
      <c r="AP105" s="120"/>
      <c r="AQ105" s="119"/>
      <c r="AR105" s="120"/>
      <c r="AS105" s="120"/>
      <c r="AT105" s="120"/>
      <c r="AU105" s="120"/>
      <c r="AV105" s="119"/>
      <c r="AW105" s="120"/>
      <c r="AX105" s="120"/>
      <c r="AY105" s="120"/>
      <c r="AZ105" s="120"/>
      <c r="BA105" s="119"/>
      <c r="BB105" s="120"/>
      <c r="BC105" s="120"/>
      <c r="BD105" s="120"/>
      <c r="BE105" s="120"/>
      <c r="BF105" s="119"/>
      <c r="BG105" s="120"/>
      <c r="BH105" s="120"/>
      <c r="BI105" s="120"/>
      <c r="BJ105" s="120"/>
      <c r="BK105" s="119"/>
      <c r="BL105" s="120"/>
      <c r="BM105" s="120"/>
      <c r="BN105" s="120"/>
      <c r="BO105" s="120"/>
      <c r="BP105" s="119"/>
      <c r="BQ105" s="120"/>
      <c r="BR105" s="120"/>
      <c r="BS105" s="120"/>
      <c r="BT105" s="120"/>
      <c r="BU105" s="119"/>
      <c r="BV105" s="120"/>
      <c r="BW105" s="120"/>
      <c r="BX105" s="120"/>
      <c r="BY105" s="120"/>
      <c r="BZ105" s="119"/>
      <c r="CA105" s="120"/>
      <c r="CB105" s="120"/>
      <c r="CC105" s="120"/>
      <c r="CD105" s="120"/>
      <c r="CE105" s="119"/>
      <c r="CF105" s="120"/>
      <c r="CG105" s="120"/>
      <c r="CH105" s="120"/>
      <c r="CI105" s="120"/>
      <c r="CJ105" s="119"/>
      <c r="CK105" s="120"/>
      <c r="CL105" s="120"/>
      <c r="CM105" s="120"/>
      <c r="CN105" s="120"/>
      <c r="CO105" s="119"/>
      <c r="CP105" s="120"/>
      <c r="CQ105" s="120"/>
      <c r="CR105" s="120"/>
      <c r="CS105" s="120"/>
      <c r="CT105" s="119"/>
      <c r="CU105" s="120"/>
      <c r="CV105" s="120"/>
      <c r="CW105" s="120"/>
      <c r="CX105" s="120"/>
      <c r="CY105" s="119"/>
      <c r="CZ105" s="120"/>
      <c r="DA105" s="120"/>
      <c r="DB105" s="120"/>
      <c r="DC105" s="120"/>
      <c r="DD105" s="119"/>
      <c r="DE105" s="120"/>
      <c r="DF105" s="120"/>
      <c r="DG105" s="120"/>
      <c r="DH105" s="120"/>
      <c r="DI105" s="119"/>
      <c r="DJ105" s="120"/>
      <c r="DK105" s="120"/>
      <c r="DL105" s="120"/>
      <c r="DM105" s="120"/>
      <c r="DN105" s="119"/>
      <c r="DO105" s="120"/>
      <c r="DP105" s="120"/>
      <c r="DQ105" s="120"/>
      <c r="DR105" s="120"/>
      <c r="DS105" s="119"/>
    </row>
    <row r="106" s="92" customFormat="1" spans="2:123">
      <c r="B106" s="233" t="s">
        <v>329</v>
      </c>
      <c r="C106" s="216"/>
      <c r="D106" s="217"/>
      <c r="E106" s="217"/>
      <c r="F106" s="217"/>
      <c r="G106" s="217"/>
      <c r="H106" s="216"/>
      <c r="I106" s="217"/>
      <c r="J106" s="217"/>
      <c r="K106" s="217"/>
      <c r="L106" s="217"/>
      <c r="M106" s="216"/>
      <c r="N106" s="217"/>
      <c r="O106" s="217"/>
      <c r="P106" s="217"/>
      <c r="Q106" s="217"/>
      <c r="R106" s="216"/>
      <c r="S106" s="217"/>
      <c r="T106" s="217"/>
      <c r="U106" s="217"/>
      <c r="V106" s="217"/>
      <c r="W106" s="216"/>
      <c r="X106" s="217"/>
      <c r="Y106" s="217"/>
      <c r="Z106" s="234">
        <v>110</v>
      </c>
      <c r="AA106" s="234">
        <v>180</v>
      </c>
      <c r="AB106" s="216"/>
      <c r="AC106" s="234">
        <v>480</v>
      </c>
      <c r="AD106" s="234">
        <v>200</v>
      </c>
      <c r="AE106" s="234">
        <v>60</v>
      </c>
      <c r="AF106" s="234">
        <v>90</v>
      </c>
      <c r="AG106" s="216">
        <v>180</v>
      </c>
      <c r="AH106" s="234">
        <v>90</v>
      </c>
      <c r="AI106" s="234">
        <v>210</v>
      </c>
      <c r="AJ106" s="234">
        <v>-20</v>
      </c>
      <c r="AK106" s="234">
        <v>-310</v>
      </c>
      <c r="AL106" s="216">
        <v>-20</v>
      </c>
      <c r="AM106" s="234">
        <v>-340</v>
      </c>
      <c r="AN106" s="234">
        <v>-240</v>
      </c>
      <c r="AO106" s="234">
        <v>-30</v>
      </c>
      <c r="AP106" s="234">
        <v>10</v>
      </c>
      <c r="AQ106" s="216">
        <v>-200</v>
      </c>
      <c r="AR106" s="234">
        <v>-90</v>
      </c>
      <c r="AS106" s="234">
        <v>-220</v>
      </c>
      <c r="AT106" s="234">
        <v>-220</v>
      </c>
      <c r="AU106" s="234">
        <v>-270</v>
      </c>
      <c r="AV106" s="216">
        <f>-200-110</f>
        <v>-310</v>
      </c>
      <c r="AW106" s="234">
        <f>-310-110</f>
        <v>-420</v>
      </c>
      <c r="AX106" s="234">
        <f>-260+70</f>
        <v>-190</v>
      </c>
      <c r="AY106" s="234">
        <f>-90</f>
        <v>-90</v>
      </c>
      <c r="AZ106" s="234">
        <f>-50-30</f>
        <v>-80</v>
      </c>
      <c r="BA106" s="216">
        <v>-210</v>
      </c>
      <c r="BB106" s="234">
        <v>100</v>
      </c>
      <c r="BC106" s="234">
        <f>-110-30</f>
        <v>-140</v>
      </c>
      <c r="BD106" s="235">
        <f>-130-70</f>
        <v>-200</v>
      </c>
      <c r="BE106" s="235">
        <v>30</v>
      </c>
      <c r="BF106" s="216">
        <v>-70</v>
      </c>
      <c r="BG106" s="235">
        <f>40-10</f>
        <v>30</v>
      </c>
      <c r="BH106" s="235">
        <f>310+50</f>
        <v>360</v>
      </c>
      <c r="BI106" s="235">
        <v>450</v>
      </c>
      <c r="BJ106" s="235">
        <f>410+20</f>
        <v>430</v>
      </c>
      <c r="BK106" s="216">
        <v>330</v>
      </c>
      <c r="BL106" s="235">
        <v>380</v>
      </c>
      <c r="BM106" s="235">
        <v>260</v>
      </c>
      <c r="BN106" s="235">
        <v>70</v>
      </c>
      <c r="BO106" s="217">
        <v>130</v>
      </c>
      <c r="BP106" s="216">
        <v>200</v>
      </c>
      <c r="BQ106" s="217">
        <v>120</v>
      </c>
      <c r="BR106" s="217">
        <v>260</v>
      </c>
      <c r="BS106" s="217">
        <v>280</v>
      </c>
      <c r="BT106" s="217">
        <v>170</v>
      </c>
      <c r="BU106" s="216">
        <v>210</v>
      </c>
      <c r="BV106" s="217">
        <v>190</v>
      </c>
      <c r="BW106" s="217">
        <v>90</v>
      </c>
      <c r="BX106" s="217">
        <v>120</v>
      </c>
      <c r="BY106" s="217">
        <v>80</v>
      </c>
      <c r="BZ106" s="216">
        <v>110</v>
      </c>
      <c r="CA106" s="217">
        <v>180</v>
      </c>
      <c r="CB106" s="217">
        <v>0</v>
      </c>
      <c r="CC106" s="217">
        <v>-80</v>
      </c>
      <c r="CD106" s="217">
        <v>-80</v>
      </c>
      <c r="CE106" s="216">
        <v>-30</v>
      </c>
      <c r="CF106" s="217">
        <v>-110</v>
      </c>
      <c r="CG106" s="217">
        <v>-20</v>
      </c>
      <c r="CH106" s="217">
        <v>20</v>
      </c>
      <c r="CI106" s="217">
        <v>-130</v>
      </c>
      <c r="CJ106" s="216">
        <v>-20</v>
      </c>
      <c r="CK106" s="217">
        <v>-370</v>
      </c>
      <c r="CL106" s="217">
        <v>-150</v>
      </c>
      <c r="CM106" s="217">
        <v>-40</v>
      </c>
      <c r="CN106" s="217">
        <v>30</v>
      </c>
      <c r="CO106" s="216"/>
      <c r="CP106" s="236">
        <v>430</v>
      </c>
      <c r="CQ106" s="217">
        <v>330</v>
      </c>
      <c r="CR106" s="217">
        <v>250</v>
      </c>
      <c r="CS106" s="217">
        <v>210</v>
      </c>
      <c r="CT106" s="216"/>
      <c r="CU106" s="217">
        <v>120</v>
      </c>
      <c r="CV106" s="217">
        <v>130</v>
      </c>
      <c r="CW106" s="217">
        <v>50</v>
      </c>
      <c r="CX106" s="217">
        <v>160</v>
      </c>
      <c r="CY106" s="216">
        <v>120</v>
      </c>
      <c r="CZ106" s="217">
        <v>130</v>
      </c>
      <c r="DA106" s="217">
        <v>-80</v>
      </c>
      <c r="DB106" s="217">
        <v>-290</v>
      </c>
      <c r="DC106" s="217">
        <v>-560</v>
      </c>
      <c r="DD106" s="216"/>
      <c r="DE106" s="217">
        <v>-270</v>
      </c>
      <c r="DF106" s="217">
        <f>560-150</f>
        <v>410</v>
      </c>
      <c r="DG106" s="217"/>
      <c r="DH106" s="217"/>
      <c r="DI106" s="216"/>
      <c r="DJ106" s="217"/>
      <c r="DK106" s="217"/>
      <c r="DL106" s="217"/>
      <c r="DM106" s="217"/>
      <c r="DN106" s="216"/>
      <c r="DO106" s="217"/>
      <c r="DP106" s="217"/>
      <c r="DQ106" s="217"/>
      <c r="DR106" s="217"/>
      <c r="DS106" s="216"/>
    </row>
    <row r="107" s="92" customFormat="1" spans="2:123">
      <c r="B107" s="233" t="s">
        <v>330</v>
      </c>
      <c r="C107" s="216"/>
      <c r="D107" s="217"/>
      <c r="E107" s="217"/>
      <c r="F107" s="217"/>
      <c r="G107" s="217"/>
      <c r="H107" s="216"/>
      <c r="I107" s="217"/>
      <c r="J107" s="217"/>
      <c r="K107" s="217"/>
      <c r="L107" s="217"/>
      <c r="M107" s="216"/>
      <c r="N107" s="217"/>
      <c r="O107" s="217"/>
      <c r="P107" s="217"/>
      <c r="Q107" s="217"/>
      <c r="R107" s="216"/>
      <c r="S107" s="217"/>
      <c r="T107" s="217"/>
      <c r="U107" s="217"/>
      <c r="V107" s="217"/>
      <c r="W107" s="216"/>
      <c r="X107" s="217"/>
      <c r="Y107" s="217"/>
      <c r="Z107" s="234"/>
      <c r="AA107" s="234"/>
      <c r="AB107" s="216"/>
      <c r="AC107" s="234"/>
      <c r="AD107" s="234"/>
      <c r="AE107" s="234"/>
      <c r="AF107" s="234"/>
      <c r="AG107" s="216"/>
      <c r="AH107" s="234"/>
      <c r="AI107" s="234"/>
      <c r="AJ107" s="234"/>
      <c r="AK107" s="234"/>
      <c r="AL107" s="216"/>
      <c r="AM107" s="234"/>
      <c r="AN107" s="234"/>
      <c r="AO107" s="234"/>
      <c r="AP107" s="234"/>
      <c r="AQ107" s="216"/>
      <c r="AR107" s="234"/>
      <c r="AS107" s="234"/>
      <c r="AT107" s="234"/>
      <c r="AU107" s="234"/>
      <c r="AV107" s="216"/>
      <c r="AW107" s="234"/>
      <c r="AX107" s="234"/>
      <c r="AY107" s="234"/>
      <c r="AZ107" s="234"/>
      <c r="BA107" s="216"/>
      <c r="BB107" s="234"/>
      <c r="BC107" s="764" t="s">
        <v>331</v>
      </c>
      <c r="BD107" s="765" t="s">
        <v>332</v>
      </c>
      <c r="BE107" s="235" t="s">
        <v>333</v>
      </c>
      <c r="BF107" s="216" t="s">
        <v>333</v>
      </c>
      <c r="BG107" s="235" t="s">
        <v>333</v>
      </c>
      <c r="BH107" s="765" t="s">
        <v>334</v>
      </c>
      <c r="BI107" s="235"/>
      <c r="BJ107" s="235" t="s">
        <v>335</v>
      </c>
      <c r="BK107" s="216" t="s">
        <v>333</v>
      </c>
      <c r="BL107" s="235" t="s">
        <v>333</v>
      </c>
      <c r="BM107" s="235" t="s">
        <v>333</v>
      </c>
      <c r="BN107" s="235" t="s">
        <v>333</v>
      </c>
      <c r="BO107" s="235" t="s">
        <v>333</v>
      </c>
      <c r="BP107" s="216" t="s">
        <v>333</v>
      </c>
      <c r="BQ107" s="217" t="s">
        <v>336</v>
      </c>
      <c r="BR107" s="217" t="s">
        <v>336</v>
      </c>
      <c r="BS107" s="217" t="s">
        <v>336</v>
      </c>
      <c r="BT107" s="217" t="s">
        <v>336</v>
      </c>
      <c r="BU107" s="216"/>
      <c r="BV107" s="217" t="s">
        <v>336</v>
      </c>
      <c r="BW107" s="217" t="s">
        <v>336</v>
      </c>
      <c r="BX107" s="217" t="s">
        <v>336</v>
      </c>
      <c r="BY107" s="217"/>
      <c r="BZ107" s="216" t="s">
        <v>336</v>
      </c>
      <c r="CA107" s="217" t="s">
        <v>333</v>
      </c>
      <c r="CB107" s="217"/>
      <c r="CC107" s="217"/>
      <c r="CD107" s="217"/>
      <c r="CE107" s="216" t="s">
        <v>333</v>
      </c>
      <c r="CF107" s="217" t="s">
        <v>337</v>
      </c>
      <c r="CG107" s="217"/>
      <c r="CH107" s="217"/>
      <c r="CI107" s="217"/>
      <c r="CJ107" s="216"/>
      <c r="CK107" s="217" t="s">
        <v>338</v>
      </c>
      <c r="CL107" s="217"/>
      <c r="CM107" s="217"/>
      <c r="CN107" s="766" t="s">
        <v>339</v>
      </c>
      <c r="CO107" s="216" t="s">
        <v>339</v>
      </c>
      <c r="CP107" s="236"/>
      <c r="CQ107" s="217"/>
      <c r="CR107" s="217"/>
      <c r="CS107" s="217" t="s">
        <v>339</v>
      </c>
      <c r="CT107" s="216"/>
      <c r="CU107" s="217">
        <v>-50</v>
      </c>
      <c r="CV107" s="217"/>
      <c r="CW107" s="217"/>
      <c r="CX107" s="217"/>
      <c r="CY107" s="216"/>
      <c r="CZ107" s="217"/>
      <c r="DA107" s="217"/>
      <c r="DB107" s="217"/>
      <c r="DC107" s="217">
        <v>130</v>
      </c>
      <c r="DD107" s="216">
        <v>60</v>
      </c>
      <c r="DE107" s="217">
        <v>-330</v>
      </c>
      <c r="DF107" s="217"/>
      <c r="DG107" s="217"/>
      <c r="DH107" s="217"/>
      <c r="DI107" s="216"/>
      <c r="DJ107" s="217"/>
      <c r="DK107" s="217"/>
      <c r="DL107" s="217"/>
      <c r="DM107" s="217"/>
      <c r="DN107" s="216"/>
      <c r="DO107" s="217"/>
      <c r="DP107" s="217"/>
      <c r="DQ107" s="217"/>
      <c r="DR107" s="217"/>
      <c r="DS107" s="216"/>
    </row>
    <row r="108" s="92" customFormat="1" spans="2:123">
      <c r="B108" s="233" t="s">
        <v>340</v>
      </c>
      <c r="C108" s="216"/>
      <c r="D108" s="217"/>
      <c r="E108" s="217"/>
      <c r="F108" s="217"/>
      <c r="G108" s="217"/>
      <c r="H108" s="216"/>
      <c r="I108" s="217"/>
      <c r="J108" s="217"/>
      <c r="K108" s="217"/>
      <c r="L108" s="217"/>
      <c r="M108" s="216"/>
      <c r="N108" s="217"/>
      <c r="O108" s="217"/>
      <c r="P108" s="217"/>
      <c r="Q108" s="217"/>
      <c r="R108" s="216"/>
      <c r="S108" s="217"/>
      <c r="T108" s="217"/>
      <c r="U108" s="217"/>
      <c r="V108" s="217"/>
      <c r="W108" s="216"/>
      <c r="X108" s="217"/>
      <c r="Y108" s="217"/>
      <c r="Z108" s="234"/>
      <c r="AA108" s="234"/>
      <c r="AB108" s="216"/>
      <c r="AC108" s="234"/>
      <c r="AD108" s="234"/>
      <c r="AE108" s="234"/>
      <c r="AF108" s="234"/>
      <c r="AG108" s="216">
        <v>250</v>
      </c>
      <c r="AH108" s="234"/>
      <c r="AI108" s="234"/>
      <c r="AJ108" s="234">
        <v>70</v>
      </c>
      <c r="AK108" s="234"/>
      <c r="AL108" s="216">
        <v>80</v>
      </c>
      <c r="AM108" s="234">
        <v>110</v>
      </c>
      <c r="AN108" s="234">
        <v>0</v>
      </c>
      <c r="AO108" s="234">
        <v>50</v>
      </c>
      <c r="AP108" s="234">
        <v>40</v>
      </c>
      <c r="AQ108" s="216">
        <v>50</v>
      </c>
      <c r="AR108" s="234">
        <v>0</v>
      </c>
      <c r="AS108" s="234">
        <v>70</v>
      </c>
      <c r="AT108" s="234">
        <v>30</v>
      </c>
      <c r="AU108" s="234"/>
      <c r="AV108" s="216"/>
      <c r="AW108" s="234"/>
      <c r="AX108" s="234">
        <v>-40</v>
      </c>
      <c r="AY108" s="234">
        <v>-50</v>
      </c>
      <c r="AZ108" s="234">
        <v>-50</v>
      </c>
      <c r="BA108" s="216">
        <v>-40</v>
      </c>
      <c r="BB108" s="234">
        <v>-130</v>
      </c>
      <c r="BC108" s="234"/>
      <c r="BD108" s="234"/>
      <c r="BE108" s="234"/>
      <c r="BF108" s="216">
        <v>-90</v>
      </c>
      <c r="BG108" s="234"/>
      <c r="BH108" s="235"/>
      <c r="BI108" s="235"/>
      <c r="BJ108" s="235"/>
      <c r="BK108" s="216">
        <v>-20</v>
      </c>
      <c r="BL108" s="235"/>
      <c r="BM108" s="235"/>
      <c r="BN108" s="235"/>
      <c r="BO108" s="217"/>
      <c r="BP108" s="216"/>
      <c r="BQ108" s="217"/>
      <c r="BR108" s="217"/>
      <c r="BS108" s="217"/>
      <c r="BT108" s="217"/>
      <c r="BU108" s="216"/>
      <c r="BV108" s="217"/>
      <c r="BW108" s="217"/>
      <c r="BX108" s="217"/>
      <c r="BY108" s="217"/>
      <c r="BZ108" s="216"/>
      <c r="CA108" s="217">
        <v>-330</v>
      </c>
      <c r="CB108" s="217">
        <v>30</v>
      </c>
      <c r="CC108" s="217">
        <v>170</v>
      </c>
      <c r="CD108" s="217">
        <v>190</v>
      </c>
      <c r="CE108" s="216">
        <v>60</v>
      </c>
      <c r="CF108" s="217">
        <v>540</v>
      </c>
      <c r="CG108" s="217">
        <v>210</v>
      </c>
      <c r="CH108" s="217">
        <v>60</v>
      </c>
      <c r="CI108" s="217">
        <v>120</v>
      </c>
      <c r="CJ108" s="216">
        <v>130</v>
      </c>
      <c r="CK108" s="217">
        <v>60</v>
      </c>
      <c r="CL108" s="217">
        <v>30</v>
      </c>
      <c r="CM108" s="217"/>
      <c r="CN108" s="217"/>
      <c r="CO108" s="216"/>
      <c r="CP108" s="236">
        <v>10</v>
      </c>
      <c r="CQ108" s="217"/>
      <c r="CR108" s="217"/>
      <c r="CS108" s="217"/>
      <c r="CT108" s="216"/>
      <c r="CU108" s="217"/>
      <c r="CV108" s="217">
        <v>-70</v>
      </c>
      <c r="CW108" s="217">
        <v>-70</v>
      </c>
      <c r="CX108" s="217">
        <v>-30</v>
      </c>
      <c r="CY108" s="216">
        <v>-60</v>
      </c>
      <c r="CZ108" s="217">
        <v>-30</v>
      </c>
      <c r="DA108" s="217">
        <v>-30</v>
      </c>
      <c r="DB108" s="217">
        <v>-30</v>
      </c>
      <c r="DC108" s="217"/>
      <c r="DD108" s="216"/>
      <c r="DE108" s="217"/>
      <c r="DF108" s="217"/>
      <c r="DG108" s="217"/>
      <c r="DH108" s="217"/>
      <c r="DI108" s="216"/>
      <c r="DJ108" s="217"/>
      <c r="DK108" s="217"/>
      <c r="DL108" s="217"/>
      <c r="DM108" s="217"/>
      <c r="DN108" s="216"/>
      <c r="DO108" s="217"/>
      <c r="DP108" s="217"/>
      <c r="DQ108" s="217"/>
      <c r="DR108" s="217"/>
      <c r="DS108" s="216"/>
    </row>
    <row r="109" s="92" customFormat="1" spans="2:123">
      <c r="B109" s="233" t="s">
        <v>341</v>
      </c>
      <c r="C109" s="216"/>
      <c r="D109" s="217"/>
      <c r="E109" s="217"/>
      <c r="F109" s="217"/>
      <c r="G109" s="217"/>
      <c r="H109" s="216"/>
      <c r="I109" s="217"/>
      <c r="J109" s="217"/>
      <c r="K109" s="217"/>
      <c r="L109" s="217"/>
      <c r="M109" s="216"/>
      <c r="N109" s="217"/>
      <c r="O109" s="217"/>
      <c r="P109" s="217"/>
      <c r="Q109" s="217"/>
      <c r="R109" s="216"/>
      <c r="S109" s="217"/>
      <c r="T109" s="217"/>
      <c r="U109" s="217"/>
      <c r="V109" s="217"/>
      <c r="W109" s="216"/>
      <c r="X109" s="217"/>
      <c r="Y109" s="217"/>
      <c r="Z109" s="234"/>
      <c r="AA109" s="234"/>
      <c r="AB109" s="216"/>
      <c r="AC109" s="234"/>
      <c r="AD109" s="234"/>
      <c r="AE109" s="234"/>
      <c r="AF109" s="234"/>
      <c r="AG109" s="216">
        <v>50</v>
      </c>
      <c r="AH109" s="234"/>
      <c r="AI109" s="234"/>
      <c r="AJ109" s="234">
        <v>-60</v>
      </c>
      <c r="AK109" s="234"/>
      <c r="AL109" s="216">
        <v>10</v>
      </c>
      <c r="AM109" s="234">
        <v>0</v>
      </c>
      <c r="AN109" s="234">
        <v>0</v>
      </c>
      <c r="AO109" s="234">
        <v>-60</v>
      </c>
      <c r="AP109" s="234">
        <v>-30</v>
      </c>
      <c r="AQ109" s="216">
        <v>-30</v>
      </c>
      <c r="AR109" s="234">
        <v>40</v>
      </c>
      <c r="AS109" s="234">
        <v>40</v>
      </c>
      <c r="AT109" s="234">
        <v>40</v>
      </c>
      <c r="AU109" s="234"/>
      <c r="AV109" s="216"/>
      <c r="AW109" s="234"/>
      <c r="AX109" s="234">
        <v>-70</v>
      </c>
      <c r="AY109" s="234">
        <v>-150</v>
      </c>
      <c r="AZ109" s="234">
        <v>-30</v>
      </c>
      <c r="BA109" s="216">
        <v>-70</v>
      </c>
      <c r="BB109" s="234">
        <v>-30</v>
      </c>
      <c r="BC109" s="234"/>
      <c r="BD109" s="234"/>
      <c r="BE109" s="234"/>
      <c r="BF109" s="216"/>
      <c r="BG109" s="234"/>
      <c r="BH109" s="235"/>
      <c r="BI109" s="235"/>
      <c r="BJ109" s="235"/>
      <c r="BK109" s="216">
        <v>-20</v>
      </c>
      <c r="BL109" s="235"/>
      <c r="BM109" s="235"/>
      <c r="BN109" s="235"/>
      <c r="BO109" s="217"/>
      <c r="BP109" s="216"/>
      <c r="BQ109" s="217"/>
      <c r="BR109" s="217"/>
      <c r="BS109" s="217"/>
      <c r="BT109" s="217"/>
      <c r="BU109" s="216"/>
      <c r="BV109" s="217">
        <v>-60</v>
      </c>
      <c r="BW109" s="217">
        <v>-30</v>
      </c>
      <c r="BX109" s="217">
        <v>-40</v>
      </c>
      <c r="BY109" s="217"/>
      <c r="BZ109" s="216">
        <v>-30</v>
      </c>
      <c r="CA109" s="217"/>
      <c r="CB109" s="217">
        <v>40</v>
      </c>
      <c r="CC109" s="217"/>
      <c r="CD109" s="217"/>
      <c r="CE109" s="216">
        <v>50</v>
      </c>
      <c r="CF109" s="217">
        <v>100</v>
      </c>
      <c r="CG109" s="217">
        <v>140</v>
      </c>
      <c r="CH109" s="217"/>
      <c r="CI109" s="217"/>
      <c r="CJ109" s="216">
        <v>30</v>
      </c>
      <c r="CK109" s="217"/>
      <c r="CL109" s="217"/>
      <c r="CM109" s="217">
        <v>-70</v>
      </c>
      <c r="CN109" s="217">
        <v>-50</v>
      </c>
      <c r="CO109" s="216"/>
      <c r="CP109" s="236">
        <v>-30</v>
      </c>
      <c r="CQ109" s="217">
        <v>-70</v>
      </c>
      <c r="CR109" s="217">
        <v>-20</v>
      </c>
      <c r="CS109" s="217"/>
      <c r="CT109" s="216"/>
      <c r="CU109" s="217">
        <v>-70</v>
      </c>
      <c r="CV109" s="217">
        <v>80</v>
      </c>
      <c r="CW109" s="217">
        <v>70</v>
      </c>
      <c r="CX109" s="217"/>
      <c r="CY109" s="216">
        <v>50</v>
      </c>
      <c r="CZ109" s="217">
        <v>-20</v>
      </c>
      <c r="DA109" s="217">
        <v>-10</v>
      </c>
      <c r="DB109" s="217">
        <v>40</v>
      </c>
      <c r="DC109" s="217"/>
      <c r="DD109" s="216"/>
      <c r="DE109" s="217"/>
      <c r="DF109" s="217">
        <v>-50</v>
      </c>
      <c r="DG109" s="217"/>
      <c r="DH109" s="217"/>
      <c r="DI109" s="216"/>
      <c r="DJ109" s="217"/>
      <c r="DK109" s="217"/>
      <c r="DL109" s="217"/>
      <c r="DM109" s="217"/>
      <c r="DN109" s="216"/>
      <c r="DO109" s="217"/>
      <c r="DP109" s="217"/>
      <c r="DQ109" s="217"/>
      <c r="DR109" s="217"/>
      <c r="DS109" s="216"/>
    </row>
    <row r="110" s="92" customFormat="1" spans="2:123">
      <c r="B110" s="233" t="s">
        <v>342</v>
      </c>
      <c r="C110" s="216"/>
      <c r="D110" s="217"/>
      <c r="E110" s="217"/>
      <c r="F110" s="217"/>
      <c r="G110" s="217"/>
      <c r="H110" s="216"/>
      <c r="I110" s="217"/>
      <c r="J110" s="217"/>
      <c r="K110" s="217"/>
      <c r="L110" s="217"/>
      <c r="M110" s="216"/>
      <c r="N110" s="217"/>
      <c r="O110" s="217"/>
      <c r="P110" s="217"/>
      <c r="Q110" s="217"/>
      <c r="R110" s="216"/>
      <c r="S110" s="217"/>
      <c r="T110" s="217"/>
      <c r="U110" s="217"/>
      <c r="V110" s="217"/>
      <c r="W110" s="216"/>
      <c r="X110" s="217"/>
      <c r="Y110" s="217"/>
      <c r="Z110" s="234">
        <v>180</v>
      </c>
      <c r="AA110" s="234">
        <v>160</v>
      </c>
      <c r="AB110" s="216"/>
      <c r="AC110" s="234">
        <v>410</v>
      </c>
      <c r="AD110" s="234">
        <v>240</v>
      </c>
      <c r="AE110" s="234">
        <v>340</v>
      </c>
      <c r="AF110" s="234">
        <v>290</v>
      </c>
      <c r="AG110" s="216">
        <f>AG108+AG109</f>
        <v>300</v>
      </c>
      <c r="AH110" s="234">
        <v>190</v>
      </c>
      <c r="AI110" s="234">
        <v>160</v>
      </c>
      <c r="AJ110" s="234">
        <f>SUM(AJ108:AJ109)</f>
        <v>10</v>
      </c>
      <c r="AK110" s="234">
        <v>50</v>
      </c>
      <c r="AL110" s="216">
        <f>AL108+AL109</f>
        <v>90</v>
      </c>
      <c r="AM110" s="234">
        <f>SUM(AM108:AM109)</f>
        <v>110</v>
      </c>
      <c r="AN110" s="234">
        <f>SUM(AN108:AN109)</f>
        <v>0</v>
      </c>
      <c r="AO110" s="234">
        <f>SUM(AO108:AO109)</f>
        <v>-10</v>
      </c>
      <c r="AP110" s="234">
        <f>SUM(AP108:AP109)</f>
        <v>10</v>
      </c>
      <c r="AQ110" s="216">
        <f>AQ108+AQ109</f>
        <v>20</v>
      </c>
      <c r="AR110" s="234">
        <f>SUM(AR108:AR109)</f>
        <v>40</v>
      </c>
      <c r="AS110" s="234">
        <f>SUM(AS108:AS109)</f>
        <v>110</v>
      </c>
      <c r="AT110" s="234">
        <f>SUM(AT108:AT109)</f>
        <v>70</v>
      </c>
      <c r="AU110" s="234">
        <v>-30</v>
      </c>
      <c r="AV110" s="216">
        <v>20</v>
      </c>
      <c r="AW110" s="234">
        <v>-70</v>
      </c>
      <c r="AX110" s="234">
        <f>SUM(AX108:AX109)</f>
        <v>-110</v>
      </c>
      <c r="AY110" s="234">
        <f>SUM(AY108:AY109)</f>
        <v>-200</v>
      </c>
      <c r="AZ110" s="234">
        <f>SUM(AZ108:AZ109)</f>
        <v>-80</v>
      </c>
      <c r="BA110" s="216">
        <f>BA108+BA109</f>
        <v>-110</v>
      </c>
      <c r="BB110" s="234">
        <f>SUM(BB108:BB109)</f>
        <v>-160</v>
      </c>
      <c r="BC110" s="234">
        <v>-110</v>
      </c>
      <c r="BD110" s="235">
        <v>-120</v>
      </c>
      <c r="BE110" s="235">
        <f>-20-20</f>
        <v>-40</v>
      </c>
      <c r="BF110" s="216">
        <f>BF108+BF109</f>
        <v>-90</v>
      </c>
      <c r="BG110" s="235">
        <v>-20</v>
      </c>
      <c r="BH110" s="235">
        <v>-40</v>
      </c>
      <c r="BI110" s="235">
        <v>-50</v>
      </c>
      <c r="BJ110" s="235">
        <v>10</v>
      </c>
      <c r="BK110" s="216">
        <f>BK108+BK109</f>
        <v>-40</v>
      </c>
      <c r="BL110" s="235">
        <v>-200</v>
      </c>
      <c r="BM110" s="235">
        <f>-10-10</f>
        <v>-20</v>
      </c>
      <c r="BN110" s="235">
        <v>20</v>
      </c>
      <c r="BO110" s="217">
        <v>40</v>
      </c>
      <c r="BP110" s="216"/>
      <c r="BQ110" s="217">
        <v>120</v>
      </c>
      <c r="BR110" s="217">
        <f>70-30</f>
        <v>40</v>
      </c>
      <c r="BS110" s="217">
        <v>-30</v>
      </c>
      <c r="BT110" s="217">
        <f>20-50</f>
        <v>-30</v>
      </c>
      <c r="BU110" s="216">
        <f>40-30</f>
        <v>10</v>
      </c>
      <c r="BV110" s="217">
        <v>-20</v>
      </c>
      <c r="BW110" s="217">
        <v>-20</v>
      </c>
      <c r="BX110" s="217">
        <v>10</v>
      </c>
      <c r="BY110" s="217"/>
      <c r="BZ110" s="216">
        <v>-10</v>
      </c>
      <c r="CA110" s="217">
        <v>-100</v>
      </c>
      <c r="CB110" s="217">
        <v>-130</v>
      </c>
      <c r="CC110" s="217"/>
      <c r="CD110" s="217">
        <v>-70</v>
      </c>
      <c r="CE110" s="216">
        <f>-80</f>
        <v>-80</v>
      </c>
      <c r="CF110" s="217"/>
      <c r="CG110" s="217"/>
      <c r="CH110" s="217"/>
      <c r="CI110" s="217"/>
      <c r="CJ110" s="216"/>
      <c r="CK110" s="217"/>
      <c r="CL110" s="217"/>
      <c r="CM110" s="217">
        <v>40</v>
      </c>
      <c r="CN110" s="217"/>
      <c r="CO110" s="216"/>
      <c r="CP110" s="236"/>
      <c r="CQ110" s="217"/>
      <c r="CR110" s="217"/>
      <c r="CS110" s="217"/>
      <c r="CT110" s="216"/>
      <c r="CU110" s="217"/>
      <c r="CV110" s="217"/>
      <c r="CW110" s="217"/>
      <c r="CX110" s="217"/>
      <c r="CY110" s="216"/>
      <c r="CZ110" s="217"/>
      <c r="DA110" s="217"/>
      <c r="DB110" s="217"/>
      <c r="DC110" s="217">
        <v>-30</v>
      </c>
      <c r="DD110" s="216"/>
      <c r="DE110" s="217">
        <v>-140</v>
      </c>
      <c r="DF110" s="217">
        <v>-180</v>
      </c>
      <c r="DG110" s="217"/>
      <c r="DH110" s="217"/>
      <c r="DI110" s="216"/>
      <c r="DJ110" s="217"/>
      <c r="DK110" s="217"/>
      <c r="DL110" s="217"/>
      <c r="DM110" s="217"/>
      <c r="DN110" s="216"/>
      <c r="DO110" s="217"/>
      <c r="DP110" s="217"/>
      <c r="DQ110" s="217"/>
      <c r="DR110" s="217"/>
      <c r="DS110" s="216"/>
    </row>
    <row r="111" s="92" customFormat="1" spans="2:123">
      <c r="B111" s="233" t="s">
        <v>55</v>
      </c>
      <c r="C111" s="216"/>
      <c r="D111" s="217"/>
      <c r="E111" s="217"/>
      <c r="F111" s="217"/>
      <c r="G111" s="217"/>
      <c r="H111" s="216"/>
      <c r="I111" s="217"/>
      <c r="J111" s="217"/>
      <c r="K111" s="217"/>
      <c r="L111" s="217"/>
      <c r="M111" s="216"/>
      <c r="N111" s="217"/>
      <c r="O111" s="217"/>
      <c r="P111" s="217"/>
      <c r="Q111" s="217"/>
      <c r="R111" s="216"/>
      <c r="S111" s="217"/>
      <c r="T111" s="217"/>
      <c r="U111" s="217"/>
      <c r="V111" s="217"/>
      <c r="W111" s="216"/>
      <c r="X111" s="217"/>
      <c r="Y111" s="217"/>
      <c r="Z111" s="234">
        <v>-120</v>
      </c>
      <c r="AA111" s="234">
        <v>80</v>
      </c>
      <c r="AB111" s="216"/>
      <c r="AC111" s="234">
        <v>200</v>
      </c>
      <c r="AD111" s="234">
        <v>220</v>
      </c>
      <c r="AE111" s="234">
        <v>120</v>
      </c>
      <c r="AF111" s="234">
        <v>80</v>
      </c>
      <c r="AG111" s="216">
        <v>140</v>
      </c>
      <c r="AH111" s="234">
        <f>70+140</f>
        <v>210</v>
      </c>
      <c r="AI111" s="234">
        <v>100</v>
      </c>
      <c r="AJ111" s="234">
        <v>80</v>
      </c>
      <c r="AK111" s="234">
        <v>40</v>
      </c>
      <c r="AL111" s="216">
        <v>70</v>
      </c>
      <c r="AM111" s="234">
        <v>-140</v>
      </c>
      <c r="AN111" s="234">
        <v>0</v>
      </c>
      <c r="AO111" s="234">
        <v>0</v>
      </c>
      <c r="AP111" s="234">
        <v>0</v>
      </c>
      <c r="AQ111" s="216">
        <v>60</v>
      </c>
      <c r="AR111" s="234">
        <v>-510</v>
      </c>
      <c r="AS111" s="234">
        <v>0</v>
      </c>
      <c r="AT111" s="234">
        <v>0</v>
      </c>
      <c r="AU111" s="234">
        <v>0</v>
      </c>
      <c r="AV111" s="216">
        <v>0</v>
      </c>
      <c r="AW111" s="234">
        <f>510-50-40</f>
        <v>420</v>
      </c>
      <c r="AX111" s="234">
        <v>-50</v>
      </c>
      <c r="AY111" s="234">
        <v>-40</v>
      </c>
      <c r="AZ111" s="234">
        <v>-50</v>
      </c>
      <c r="BA111" s="216">
        <v>-40</v>
      </c>
      <c r="BB111" s="234">
        <f>-100</f>
        <v>-100</v>
      </c>
      <c r="BC111" s="234">
        <f>-50</f>
        <v>-50</v>
      </c>
      <c r="BD111" s="235">
        <f>70</f>
        <v>70</v>
      </c>
      <c r="BE111" s="217"/>
      <c r="BF111" s="216"/>
      <c r="BG111" s="235"/>
      <c r="BH111" s="235">
        <v>-40</v>
      </c>
      <c r="BI111" s="217"/>
      <c r="BJ111" s="217"/>
      <c r="BK111" s="216"/>
      <c r="BL111" s="217"/>
      <c r="BM111" s="217"/>
      <c r="BN111" s="217"/>
      <c r="BO111" s="217"/>
      <c r="BP111" s="216"/>
      <c r="BQ111" s="217"/>
      <c r="BR111" s="217"/>
      <c r="BS111" s="217"/>
      <c r="BT111" s="217"/>
      <c r="BU111" s="216"/>
      <c r="BV111" s="217"/>
      <c r="BW111" s="217"/>
      <c r="BX111" s="217"/>
      <c r="BY111" s="217"/>
      <c r="BZ111" s="216"/>
      <c r="CA111" s="217"/>
      <c r="CB111" s="217"/>
      <c r="CC111" s="217"/>
      <c r="CD111" s="217"/>
      <c r="CE111" s="216"/>
      <c r="CF111" s="217"/>
      <c r="CG111" s="217"/>
      <c r="CH111" s="217"/>
      <c r="CI111" s="217"/>
      <c r="CJ111" s="216"/>
      <c r="CK111" s="217"/>
      <c r="CL111" s="217"/>
      <c r="CM111" s="217"/>
      <c r="CN111" s="217"/>
      <c r="CO111" s="216"/>
      <c r="CP111" s="236"/>
      <c r="CQ111" s="217"/>
      <c r="CR111" s="217"/>
      <c r="CS111" s="217"/>
      <c r="CT111" s="216"/>
      <c r="CU111" s="217"/>
      <c r="CV111" s="217">
        <v>-40</v>
      </c>
      <c r="CW111" s="217">
        <v>-20</v>
      </c>
      <c r="CX111" s="217"/>
      <c r="CY111" s="216">
        <v>-30</v>
      </c>
      <c r="CZ111" s="217"/>
      <c r="DA111" s="217"/>
      <c r="DB111" s="217"/>
      <c r="DC111" s="217"/>
      <c r="DD111" s="216"/>
      <c r="DE111" s="217"/>
      <c r="DF111" s="217"/>
      <c r="DG111" s="217"/>
      <c r="DH111" s="217"/>
      <c r="DI111" s="216"/>
      <c r="DJ111" s="217"/>
      <c r="DK111" s="217"/>
      <c r="DL111" s="217"/>
      <c r="DM111" s="217"/>
      <c r="DN111" s="216"/>
      <c r="DO111" s="217"/>
      <c r="DP111" s="217"/>
      <c r="DQ111" s="217"/>
      <c r="DR111" s="217"/>
      <c r="DS111" s="216"/>
    </row>
    <row r="112" s="92" customFormat="1" spans="2:123">
      <c r="B112" s="233" t="s">
        <v>343</v>
      </c>
      <c r="C112" s="216"/>
      <c r="D112" s="217"/>
      <c r="E112" s="217"/>
      <c r="F112" s="217"/>
      <c r="G112" s="217"/>
      <c r="H112" s="216"/>
      <c r="I112" s="217"/>
      <c r="J112" s="217"/>
      <c r="K112" s="217"/>
      <c r="L112" s="217"/>
      <c r="M112" s="216"/>
      <c r="N112" s="217"/>
      <c r="O112" s="217"/>
      <c r="P112" s="217"/>
      <c r="Q112" s="217"/>
      <c r="R112" s="216"/>
      <c r="S112" s="217"/>
      <c r="T112" s="217"/>
      <c r="U112" s="217"/>
      <c r="V112" s="217"/>
      <c r="W112" s="216"/>
      <c r="X112" s="217"/>
      <c r="Y112" s="217"/>
      <c r="Z112" s="234"/>
      <c r="AA112" s="234"/>
      <c r="AB112" s="216"/>
      <c r="AC112" s="234"/>
      <c r="AD112" s="234"/>
      <c r="AE112" s="234"/>
      <c r="AF112" s="234"/>
      <c r="AG112" s="216"/>
      <c r="AH112" s="234"/>
      <c r="AI112" s="234"/>
      <c r="AJ112" s="234"/>
      <c r="AK112" s="234"/>
      <c r="AL112" s="216"/>
      <c r="AM112" s="234"/>
      <c r="AN112" s="234"/>
      <c r="AO112" s="234"/>
      <c r="AP112" s="234"/>
      <c r="AQ112" s="216"/>
      <c r="AR112" s="234"/>
      <c r="AS112" s="234"/>
      <c r="AT112" s="234"/>
      <c r="AU112" s="234"/>
      <c r="AV112" s="216"/>
      <c r="AW112" s="234"/>
      <c r="AX112" s="234"/>
      <c r="AY112" s="234"/>
      <c r="AZ112" s="234"/>
      <c r="BA112" s="216"/>
      <c r="BB112" s="234">
        <v>-70</v>
      </c>
      <c r="BC112" s="234">
        <v>-70</v>
      </c>
      <c r="BD112" s="235">
        <v>-90</v>
      </c>
      <c r="BE112" s="235">
        <v>-110</v>
      </c>
      <c r="BF112" s="216">
        <v>-90</v>
      </c>
      <c r="BG112" s="235">
        <v>-50</v>
      </c>
      <c r="BH112" s="235">
        <v>-20</v>
      </c>
      <c r="BI112" s="235">
        <v>20</v>
      </c>
      <c r="BJ112" s="235">
        <v>-10</v>
      </c>
      <c r="BK112" s="216">
        <v>-10</v>
      </c>
      <c r="BL112" s="235">
        <v>30</v>
      </c>
      <c r="BM112" s="235">
        <v>-20</v>
      </c>
      <c r="BN112" s="235">
        <v>20</v>
      </c>
      <c r="BO112" s="217">
        <v>30</v>
      </c>
      <c r="BP112" s="216">
        <v>10</v>
      </c>
      <c r="BQ112" s="217">
        <v>30</v>
      </c>
      <c r="BR112" s="217">
        <f>20</f>
        <v>20</v>
      </c>
      <c r="BS112" s="217">
        <v>-30</v>
      </c>
      <c r="BT112" s="217">
        <v>-30</v>
      </c>
      <c r="BU112" s="216">
        <v>-10</v>
      </c>
      <c r="BV112" s="217">
        <v>-30</v>
      </c>
      <c r="BW112" s="217">
        <v>-20</v>
      </c>
      <c r="BX112" s="217">
        <v>-20</v>
      </c>
      <c r="BY112" s="217"/>
      <c r="BZ112" s="216">
        <v>-10</v>
      </c>
      <c r="CA112" s="217">
        <v>-20</v>
      </c>
      <c r="CB112" s="217">
        <v>-20</v>
      </c>
      <c r="CC112" s="217">
        <v>10</v>
      </c>
      <c r="CD112" s="217">
        <v>20</v>
      </c>
      <c r="CE112" s="216">
        <v>10</v>
      </c>
      <c r="CF112" s="217">
        <v>50</v>
      </c>
      <c r="CG112" s="217">
        <v>60</v>
      </c>
      <c r="CH112" s="217">
        <v>30</v>
      </c>
      <c r="CI112" s="217">
        <v>20</v>
      </c>
      <c r="CJ112" s="216">
        <v>30</v>
      </c>
      <c r="CK112" s="217">
        <v>-10</v>
      </c>
      <c r="CL112" s="217">
        <v>-40</v>
      </c>
      <c r="CM112" s="217">
        <v>-60</v>
      </c>
      <c r="CN112" s="217">
        <v>-50</v>
      </c>
      <c r="CO112" s="216"/>
      <c r="CP112" s="236">
        <v>-50</v>
      </c>
      <c r="CQ112" s="217">
        <v>-30</v>
      </c>
      <c r="CR112" s="217">
        <v>-10</v>
      </c>
      <c r="CS112" s="217">
        <v>-10</v>
      </c>
      <c r="CT112" s="216"/>
      <c r="CU112" s="217">
        <v>-30</v>
      </c>
      <c r="CV112" s="217">
        <v>-20</v>
      </c>
      <c r="CW112" s="217">
        <v>10</v>
      </c>
      <c r="CX112" s="217">
        <v>-30</v>
      </c>
      <c r="CY112" s="216">
        <v>10</v>
      </c>
      <c r="CZ112" s="217">
        <v>-20</v>
      </c>
      <c r="DA112" s="217">
        <v>10</v>
      </c>
      <c r="DB112" s="217">
        <v>-10</v>
      </c>
      <c r="DC112" s="217">
        <v>40</v>
      </c>
      <c r="DD112" s="216"/>
      <c r="DE112" s="217"/>
      <c r="DF112" s="217">
        <v>20</v>
      </c>
      <c r="DG112" s="217"/>
      <c r="DH112" s="217"/>
      <c r="DI112" s="216"/>
      <c r="DJ112" s="217"/>
      <c r="DK112" s="217"/>
      <c r="DL112" s="217"/>
      <c r="DM112" s="217"/>
      <c r="DN112" s="216"/>
      <c r="DO112" s="217"/>
      <c r="DP112" s="217"/>
      <c r="DQ112" s="217"/>
      <c r="DR112" s="217"/>
      <c r="DS112" s="216"/>
    </row>
    <row r="113" s="93" customFormat="1" spans="2:123">
      <c r="B113" s="237" t="s">
        <v>56</v>
      </c>
      <c r="C113" s="238"/>
      <c r="D113" s="239"/>
      <c r="E113" s="239"/>
      <c r="F113" s="239"/>
      <c r="G113" s="239"/>
      <c r="H113" s="238"/>
      <c r="I113" s="239"/>
      <c r="J113" s="239"/>
      <c r="K113" s="239"/>
      <c r="L113" s="239"/>
      <c r="M113" s="238"/>
      <c r="N113" s="239"/>
      <c r="O113" s="239"/>
      <c r="P113" s="239"/>
      <c r="Q113" s="239"/>
      <c r="R113" s="238"/>
      <c r="S113" s="239"/>
      <c r="T113" s="239"/>
      <c r="U113" s="239"/>
      <c r="V113" s="239"/>
      <c r="W113" s="238"/>
      <c r="X113" s="239"/>
      <c r="Y113" s="239"/>
      <c r="Z113" s="240">
        <f>Z106+Z110+Z111</f>
        <v>170</v>
      </c>
      <c r="AA113" s="240">
        <f>AA106+AA110+AA111</f>
        <v>420</v>
      </c>
      <c r="AB113" s="238"/>
      <c r="AC113" s="240">
        <f t="shared" ref="AC113:BA113" si="897">AC106+AC110+AC111</f>
        <v>1090</v>
      </c>
      <c r="AD113" s="240">
        <f t="shared" si="897"/>
        <v>660</v>
      </c>
      <c r="AE113" s="240">
        <f t="shared" si="897"/>
        <v>520</v>
      </c>
      <c r="AF113" s="240">
        <f t="shared" si="897"/>
        <v>460</v>
      </c>
      <c r="AG113" s="241">
        <f t="shared" si="897"/>
        <v>620</v>
      </c>
      <c r="AH113" s="240">
        <f t="shared" si="897"/>
        <v>490</v>
      </c>
      <c r="AI113" s="240">
        <f t="shared" si="897"/>
        <v>470</v>
      </c>
      <c r="AJ113" s="240">
        <f t="shared" si="897"/>
        <v>70</v>
      </c>
      <c r="AK113" s="240">
        <f t="shared" si="897"/>
        <v>-220</v>
      </c>
      <c r="AL113" s="241">
        <f t="shared" si="897"/>
        <v>140</v>
      </c>
      <c r="AM113" s="240">
        <f t="shared" si="897"/>
        <v>-370</v>
      </c>
      <c r="AN113" s="240">
        <f t="shared" si="897"/>
        <v>-240</v>
      </c>
      <c r="AO113" s="240">
        <f t="shared" si="897"/>
        <v>-40</v>
      </c>
      <c r="AP113" s="240">
        <f t="shared" si="897"/>
        <v>20</v>
      </c>
      <c r="AQ113" s="241">
        <f t="shared" si="897"/>
        <v>-120</v>
      </c>
      <c r="AR113" s="240">
        <f t="shared" si="897"/>
        <v>-560</v>
      </c>
      <c r="AS113" s="240">
        <f t="shared" si="897"/>
        <v>-110</v>
      </c>
      <c r="AT113" s="240">
        <f t="shared" si="897"/>
        <v>-150</v>
      </c>
      <c r="AU113" s="240">
        <f t="shared" si="897"/>
        <v>-300</v>
      </c>
      <c r="AV113" s="241">
        <f t="shared" si="897"/>
        <v>-290</v>
      </c>
      <c r="AW113" s="240">
        <f t="shared" si="897"/>
        <v>-70</v>
      </c>
      <c r="AX113" s="240">
        <f t="shared" si="897"/>
        <v>-350</v>
      </c>
      <c r="AY113" s="240">
        <f t="shared" si="897"/>
        <v>-330</v>
      </c>
      <c r="AZ113" s="240">
        <f t="shared" si="897"/>
        <v>-210</v>
      </c>
      <c r="BA113" s="241">
        <f t="shared" si="897"/>
        <v>-360</v>
      </c>
      <c r="BB113" s="240">
        <f>BB106+BB110+BB111+BB112</f>
        <v>-230</v>
      </c>
      <c r="BC113" s="240">
        <f>BC106+BC110+BC111+BC112</f>
        <v>-370</v>
      </c>
      <c r="BD113" s="240">
        <f>BD106+BD110+BD111+BD112</f>
        <v>-340</v>
      </c>
      <c r="BE113" s="240">
        <f>BE106+BE110+BE112</f>
        <v>-120</v>
      </c>
      <c r="BF113" s="241">
        <f>BF106+BF110+BF112</f>
        <v>-250</v>
      </c>
      <c r="BG113" s="240">
        <f>BG106+BG110+BG111+BG112</f>
        <v>-40</v>
      </c>
      <c r="BH113" s="240">
        <f>BH106+BH110+BH112+BH111</f>
        <v>260</v>
      </c>
      <c r="BI113" s="240">
        <f t="shared" ref="BI113:BU113" si="898">BI106+BI110+BI112</f>
        <v>420</v>
      </c>
      <c r="BJ113" s="240">
        <f t="shared" si="898"/>
        <v>430</v>
      </c>
      <c r="BK113" s="241">
        <f t="shared" si="898"/>
        <v>280</v>
      </c>
      <c r="BL113" s="240">
        <f t="shared" si="898"/>
        <v>210</v>
      </c>
      <c r="BM113" s="240">
        <f t="shared" si="898"/>
        <v>220</v>
      </c>
      <c r="BN113" s="240">
        <f t="shared" si="898"/>
        <v>110</v>
      </c>
      <c r="BO113" s="240">
        <f t="shared" si="898"/>
        <v>200</v>
      </c>
      <c r="BP113" s="241">
        <f t="shared" si="898"/>
        <v>210</v>
      </c>
      <c r="BQ113" s="240">
        <f t="shared" si="898"/>
        <v>270</v>
      </c>
      <c r="BR113" s="240">
        <f t="shared" si="898"/>
        <v>320</v>
      </c>
      <c r="BS113" s="240">
        <f t="shared" si="898"/>
        <v>220</v>
      </c>
      <c r="BT113" s="240">
        <f t="shared" si="898"/>
        <v>110</v>
      </c>
      <c r="BU113" s="241">
        <f t="shared" si="898"/>
        <v>210</v>
      </c>
      <c r="BV113" s="240">
        <f>BV106+BV110+BV112+BV109</f>
        <v>80</v>
      </c>
      <c r="BW113" s="240">
        <f>BW106+BW110+BW112+BW109</f>
        <v>20</v>
      </c>
      <c r="BX113" s="240">
        <f>BX106+BX110+BX112+BX109</f>
        <v>70</v>
      </c>
      <c r="BY113" s="240">
        <f>BY106+BY110+BY112+BY109</f>
        <v>80</v>
      </c>
      <c r="BZ113" s="241">
        <f>BZ106+BZ110+BZ112+BZ109</f>
        <v>60</v>
      </c>
      <c r="CA113" s="240">
        <f>CA106+CA110+CA112+CA108</f>
        <v>-270</v>
      </c>
      <c r="CB113" s="240">
        <f>CB106+CB110+CB112+CB108+CB109</f>
        <v>-80</v>
      </c>
      <c r="CC113" s="240">
        <f>CC106+CC110+CC112+CC108+CC109</f>
        <v>100</v>
      </c>
      <c r="CD113" s="240">
        <f>CD106+CD110+CD112+CD108+CD109</f>
        <v>60</v>
      </c>
      <c r="CE113" s="241">
        <f>CE106+CE110+CE112+CE109</f>
        <v>-50</v>
      </c>
      <c r="CF113" s="240">
        <f>CF106+CF110+CF112+CF108+CF109</f>
        <v>580</v>
      </c>
      <c r="CG113" s="240">
        <f>CG106+CG110+CG112+CG108+CG109</f>
        <v>390</v>
      </c>
      <c r="CH113" s="240">
        <f>CH106+CH110+CH112+CH108+CH109</f>
        <v>110</v>
      </c>
      <c r="CI113" s="240">
        <f>CI106+CI110+CI112+CI108+CI109</f>
        <v>10</v>
      </c>
      <c r="CJ113" s="241">
        <f>CJ106+CJ110+CJ112+CJ109</f>
        <v>40</v>
      </c>
      <c r="CK113" s="240">
        <f>CK106+CK110+CK112+CK108+CK109</f>
        <v>-320</v>
      </c>
      <c r="CL113" s="240">
        <f>CL106+CL110+CL112+CL108+CL109</f>
        <v>-160</v>
      </c>
      <c r="CM113" s="240">
        <f>CM106+CM110+CM112+CM108+CM109</f>
        <v>-130</v>
      </c>
      <c r="CN113" s="240">
        <f>CN106+CN110+CN112+CN108+CN109</f>
        <v>-70</v>
      </c>
      <c r="CO113" s="241">
        <f>CO106+CO110+CO112+CO109</f>
        <v>0</v>
      </c>
      <c r="CP113" s="240">
        <f>CP106+CP110+CP112+CP108+CP109</f>
        <v>360</v>
      </c>
      <c r="CQ113" s="240">
        <f>CQ106+CQ110+CQ112+CQ108+CQ109</f>
        <v>230</v>
      </c>
      <c r="CR113" s="240">
        <f>CR106+CR110+CR112+CR108+CR109</f>
        <v>220</v>
      </c>
      <c r="CS113" s="240">
        <f>CS106+CS110+CS112+CS108+CS109</f>
        <v>200</v>
      </c>
      <c r="CT113" s="238"/>
      <c r="CU113" s="240">
        <f>CU106+CU110+CU112+CU108+CU109</f>
        <v>20</v>
      </c>
      <c r="CV113" s="240">
        <f>CV106+CV110+CV112+CV108+CV109+CV111</f>
        <v>80</v>
      </c>
      <c r="CW113" s="240">
        <f>CW106+CW110+CW112+CW108+CW109+CW111</f>
        <v>40</v>
      </c>
      <c r="CX113" s="240">
        <f>CX106+CX110+CX112+CX108+CX109+CX111</f>
        <v>100</v>
      </c>
      <c r="CY113" s="238">
        <f>CY106+CY110+CY112+CY108+CY109+CY111</f>
        <v>90</v>
      </c>
      <c r="CZ113" s="240">
        <f>CZ106+CZ110+CZ112+CZ108+CZ109</f>
        <v>60</v>
      </c>
      <c r="DA113" s="240">
        <f>DA106+DA110+DA112+DA108+DA109+DA111</f>
        <v>-110</v>
      </c>
      <c r="DB113" s="240">
        <f>DB106+DB110+DB112+DB108+DB109+DB111</f>
        <v>-290</v>
      </c>
      <c r="DC113" s="240">
        <f>DC106+DC110+DC112+DC108+DC109+DC111</f>
        <v>-550</v>
      </c>
      <c r="DD113" s="238"/>
      <c r="DE113" s="240">
        <f>DE106+DE110+DE112+DE108+DE109</f>
        <v>-410</v>
      </c>
      <c r="DF113" s="240">
        <f>DF106+DF110+DF112+DF108+DF109+DF111</f>
        <v>200</v>
      </c>
      <c r="DG113" s="239"/>
      <c r="DH113" s="239"/>
      <c r="DI113" s="238"/>
      <c r="DJ113" s="239"/>
      <c r="DK113" s="239"/>
      <c r="DL113" s="239"/>
      <c r="DM113" s="239"/>
      <c r="DN113" s="238"/>
      <c r="DO113" s="239"/>
      <c r="DP113" s="239"/>
      <c r="DQ113" s="239"/>
      <c r="DR113" s="239"/>
      <c r="DS113" s="238"/>
    </row>
    <row r="114" spans="2:123">
      <c r="B114" s="33"/>
      <c r="C114" s="119"/>
      <c r="D114" s="120"/>
      <c r="E114" s="120"/>
      <c r="F114" s="120"/>
      <c r="G114" s="120"/>
      <c r="H114" s="119"/>
      <c r="I114" s="120"/>
      <c r="J114" s="120"/>
      <c r="K114" s="120"/>
      <c r="L114" s="120"/>
      <c r="M114" s="119"/>
      <c r="N114" s="120"/>
      <c r="O114" s="120"/>
      <c r="P114" s="120"/>
      <c r="Q114" s="120"/>
      <c r="R114" s="119"/>
      <c r="S114" s="120"/>
      <c r="T114" s="120"/>
      <c r="U114" s="120"/>
      <c r="V114" s="120"/>
      <c r="W114" s="119"/>
      <c r="X114" s="120"/>
      <c r="Y114" s="120"/>
      <c r="Z114" s="120"/>
      <c r="AA114" s="120"/>
      <c r="AB114" s="119"/>
      <c r="AC114" s="120"/>
      <c r="AD114" s="120"/>
      <c r="AE114" s="120"/>
      <c r="AF114" s="120"/>
      <c r="AG114" s="119"/>
      <c r="AH114" s="120"/>
      <c r="AI114" s="120"/>
      <c r="AJ114" s="120"/>
      <c r="AK114" s="120"/>
      <c r="AL114" s="119"/>
      <c r="AM114" s="120"/>
      <c r="AN114" s="120"/>
      <c r="AO114" s="120"/>
      <c r="AP114" s="120"/>
      <c r="AQ114" s="119"/>
      <c r="AR114" s="120"/>
      <c r="AS114" s="120"/>
      <c r="AT114" s="120"/>
      <c r="AU114" s="120"/>
      <c r="AV114" s="119"/>
      <c r="AW114" s="120"/>
      <c r="AX114" s="120"/>
      <c r="AY114" s="120"/>
      <c r="AZ114" s="120"/>
      <c r="BA114" s="119"/>
      <c r="BB114" s="120"/>
      <c r="BC114" s="120"/>
      <c r="BD114" s="120"/>
      <c r="BE114" s="120"/>
      <c r="BF114" s="119"/>
      <c r="BG114" s="120"/>
      <c r="BH114" s="120"/>
      <c r="BI114" s="120"/>
      <c r="BJ114" s="120"/>
      <c r="BK114" s="119"/>
      <c r="BL114" s="120"/>
      <c r="BM114" s="120"/>
      <c r="BN114" s="120"/>
      <c r="BO114" s="120"/>
      <c r="BP114" s="119"/>
      <c r="BQ114" s="120"/>
      <c r="BR114" s="120"/>
      <c r="BS114" s="120"/>
      <c r="BT114" s="120"/>
      <c r="BU114" s="119"/>
      <c r="BV114" s="120"/>
      <c r="BW114" s="120"/>
      <c r="BX114" s="120"/>
      <c r="BY114" s="120"/>
      <c r="BZ114" s="119"/>
      <c r="CA114" s="120"/>
      <c r="CB114" s="120"/>
      <c r="CC114" s="120"/>
      <c r="CD114" s="120"/>
      <c r="CE114" s="119"/>
      <c r="CF114" s="120"/>
      <c r="CG114" s="120"/>
      <c r="CH114" s="120"/>
      <c r="CI114" s="120"/>
      <c r="CJ114" s="119"/>
      <c r="CK114" s="120"/>
      <c r="CL114" s="120"/>
      <c r="CM114" s="120"/>
      <c r="CN114" s="120"/>
      <c r="CO114" s="119"/>
      <c r="CP114" s="120"/>
      <c r="CQ114" s="120"/>
      <c r="CR114" s="120"/>
      <c r="CS114" s="120"/>
      <c r="CT114" s="119"/>
      <c r="CU114" s="120"/>
      <c r="CV114" s="120"/>
      <c r="CW114" s="120"/>
      <c r="CX114" s="120"/>
      <c r="CY114" s="119"/>
      <c r="CZ114" s="120"/>
      <c r="DA114" s="120"/>
      <c r="DB114" s="120"/>
      <c r="DC114" s="120"/>
      <c r="DD114" s="119"/>
      <c r="DE114" s="120"/>
      <c r="DF114" s="120"/>
      <c r="DG114" s="120"/>
      <c r="DH114" s="120"/>
      <c r="DI114" s="119"/>
      <c r="DJ114" s="120"/>
      <c r="DK114" s="120"/>
      <c r="DL114" s="120"/>
      <c r="DM114" s="120"/>
      <c r="DN114" s="119"/>
      <c r="DO114" s="120"/>
      <c r="DP114" s="120"/>
      <c r="DQ114" s="120"/>
      <c r="DR114" s="120"/>
      <c r="DS114" s="119"/>
    </row>
    <row r="115" spans="2:123">
      <c r="B115" s="130" t="s">
        <v>344</v>
      </c>
      <c r="C115" s="242"/>
      <c r="D115" s="120"/>
      <c r="E115" s="120"/>
      <c r="F115" s="120"/>
      <c r="G115" s="120"/>
      <c r="H115" s="119"/>
      <c r="I115" s="120"/>
      <c r="J115" s="120"/>
      <c r="K115" s="120"/>
      <c r="L115" s="120"/>
      <c r="M115" s="119"/>
      <c r="N115" s="120"/>
      <c r="O115" s="120"/>
      <c r="P115" s="120"/>
      <c r="Q115" s="120"/>
      <c r="R115" s="119"/>
      <c r="S115" s="120"/>
      <c r="T115" s="120"/>
      <c r="U115" s="120"/>
      <c r="V115" s="120"/>
      <c r="W115" s="119"/>
      <c r="X115" s="120"/>
      <c r="Y115" s="120"/>
      <c r="Z115" s="120"/>
      <c r="AA115" s="120"/>
      <c r="AB115" s="119"/>
      <c r="AC115" s="120"/>
      <c r="AD115" s="120"/>
      <c r="AE115" s="120"/>
      <c r="AF115" s="120"/>
      <c r="AG115" s="119"/>
      <c r="AH115" s="120"/>
      <c r="AI115" s="120"/>
      <c r="AJ115" s="120"/>
      <c r="AK115" s="120"/>
      <c r="AL115" s="119"/>
      <c r="AM115" s="120"/>
      <c r="AN115" s="120"/>
      <c r="AO115" s="120"/>
      <c r="AP115" s="120"/>
      <c r="AQ115" s="119"/>
      <c r="AR115" s="120"/>
      <c r="AS115" s="120"/>
      <c r="AT115" s="120"/>
      <c r="AU115" s="120"/>
      <c r="AV115" s="119"/>
      <c r="AW115" s="120"/>
      <c r="AX115" s="120"/>
      <c r="AY115" s="120"/>
      <c r="AZ115" s="120"/>
      <c r="BA115" s="119"/>
      <c r="BB115" s="120"/>
      <c r="BC115" s="120"/>
      <c r="BD115" s="120"/>
      <c r="BE115" s="120"/>
      <c r="BF115" s="119"/>
      <c r="BG115" s="120"/>
      <c r="BH115" s="120"/>
      <c r="BI115" s="120"/>
      <c r="BJ115" s="120"/>
      <c r="BK115" s="119"/>
      <c r="BL115" s="120"/>
      <c r="BM115" s="120"/>
      <c r="BN115" s="120"/>
      <c r="BO115" s="169"/>
      <c r="BP115" s="119"/>
      <c r="BQ115" s="120"/>
      <c r="BR115" s="120"/>
      <c r="BS115" s="120"/>
      <c r="BT115" s="120"/>
      <c r="BU115" s="119"/>
      <c r="BV115" s="120"/>
      <c r="BW115" s="120"/>
      <c r="BX115" s="120"/>
      <c r="BY115" s="120"/>
      <c r="BZ115" s="119"/>
      <c r="CA115" s="120"/>
      <c r="CB115" s="120"/>
      <c r="CC115" s="120"/>
      <c r="CD115" s="120"/>
      <c r="CE115" s="119"/>
      <c r="CF115" s="120"/>
      <c r="CG115" s="120"/>
      <c r="CH115" s="120"/>
      <c r="CI115" s="120"/>
      <c r="CJ115" s="119"/>
      <c r="CK115" s="120"/>
      <c r="CL115" s="120"/>
      <c r="CM115" s="120"/>
      <c r="CN115" s="120"/>
      <c r="CO115" s="119"/>
      <c r="CP115" s="120"/>
      <c r="CQ115" s="120"/>
      <c r="CR115" s="120"/>
      <c r="CS115" s="120"/>
      <c r="CT115" s="119"/>
      <c r="CU115" s="120"/>
      <c r="CV115" s="120"/>
      <c r="CW115" s="120"/>
      <c r="CX115" s="120"/>
      <c r="CY115" s="119"/>
      <c r="CZ115" s="120"/>
      <c r="DA115" s="120"/>
      <c r="DB115" s="120"/>
      <c r="DC115" s="120"/>
      <c r="DD115" s="119"/>
      <c r="DE115" s="120"/>
      <c r="DF115" s="120"/>
      <c r="DG115" s="120"/>
      <c r="DH115" s="120"/>
      <c r="DI115" s="119"/>
      <c r="DJ115" s="120"/>
      <c r="DK115" s="120"/>
      <c r="DL115" s="120"/>
      <c r="DM115" s="120"/>
      <c r="DN115" s="119"/>
      <c r="DO115" s="120"/>
      <c r="DP115" s="120"/>
      <c r="DQ115" s="120"/>
      <c r="DR115" s="120"/>
      <c r="DS115" s="119"/>
    </row>
    <row r="116" s="92" customFormat="1" spans="2:123">
      <c r="B116" s="233" t="s">
        <v>345</v>
      </c>
      <c r="C116" s="216"/>
      <c r="D116" s="217"/>
      <c r="E116" s="217"/>
      <c r="F116" s="217"/>
      <c r="G116" s="217"/>
      <c r="H116" s="216"/>
      <c r="I116" s="217"/>
      <c r="J116" s="217"/>
      <c r="K116" s="217"/>
      <c r="L116" s="217"/>
      <c r="M116" s="216"/>
      <c r="N116" s="217"/>
      <c r="O116" s="217"/>
      <c r="P116" s="217"/>
      <c r="Q116" s="217"/>
      <c r="R116" s="216"/>
      <c r="S116" s="217"/>
      <c r="T116" s="217"/>
      <c r="U116" s="217"/>
      <c r="V116" s="217"/>
      <c r="W116" s="216"/>
      <c r="X116" s="217"/>
      <c r="Y116" s="217"/>
      <c r="Z116" s="234"/>
      <c r="AA116" s="234"/>
      <c r="AB116" s="216"/>
      <c r="AC116" s="234"/>
      <c r="AD116" s="234"/>
      <c r="AE116" s="234"/>
      <c r="AF116" s="234"/>
      <c r="AG116" s="216"/>
      <c r="AH116" s="234"/>
      <c r="AI116" s="234"/>
      <c r="AJ116" s="234"/>
      <c r="AK116" s="234"/>
      <c r="AL116" s="216"/>
      <c r="AM116" s="234"/>
      <c r="AN116" s="234"/>
      <c r="AO116" s="234"/>
      <c r="AP116" s="234"/>
      <c r="AQ116" s="216"/>
      <c r="AR116" s="234"/>
      <c r="AS116" s="234"/>
      <c r="AT116" s="234"/>
      <c r="AU116" s="234"/>
      <c r="AV116" s="216"/>
      <c r="AW116" s="234"/>
      <c r="AX116" s="234"/>
      <c r="AY116" s="234"/>
      <c r="AZ116" s="234"/>
      <c r="BA116" s="216"/>
      <c r="BB116" s="234"/>
      <c r="BC116" s="234"/>
      <c r="BD116" s="235"/>
      <c r="BE116" s="235"/>
      <c r="BF116" s="216"/>
      <c r="BG116" s="235"/>
      <c r="BH116" s="235"/>
      <c r="BI116" s="235"/>
      <c r="BJ116" s="235"/>
      <c r="BK116" s="216"/>
      <c r="BL116" s="235"/>
      <c r="BM116" s="235"/>
      <c r="BN116" s="235"/>
      <c r="BO116" s="217"/>
      <c r="BP116" s="216"/>
      <c r="BQ116" s="217">
        <v>170</v>
      </c>
      <c r="BR116" s="217">
        <f>20+40</f>
        <v>60</v>
      </c>
      <c r="BS116" s="217">
        <v>-10</v>
      </c>
      <c r="BT116" s="767" t="s">
        <v>208</v>
      </c>
      <c r="BU116" s="768" t="s">
        <v>208</v>
      </c>
      <c r="BV116" s="766" t="s">
        <v>208</v>
      </c>
      <c r="BW116" s="766" t="s">
        <v>208</v>
      </c>
      <c r="BX116" s="217">
        <v>60</v>
      </c>
      <c r="BY116" s="217">
        <v>100</v>
      </c>
      <c r="BZ116" s="216"/>
      <c r="CA116" s="217">
        <v>-930</v>
      </c>
      <c r="CB116" s="217">
        <v>-190</v>
      </c>
      <c r="CC116" s="217">
        <v>170</v>
      </c>
      <c r="CD116" s="217" t="s">
        <v>346</v>
      </c>
      <c r="CE116" s="216"/>
      <c r="CF116" s="217">
        <f>280+80</f>
        <v>360</v>
      </c>
      <c r="CG116" s="217" t="s">
        <v>347</v>
      </c>
      <c r="CH116" s="217"/>
      <c r="CI116" s="217" t="s">
        <v>348</v>
      </c>
      <c r="CJ116" s="216"/>
      <c r="CK116" s="217" t="s">
        <v>346</v>
      </c>
      <c r="CL116" s="217">
        <v>220</v>
      </c>
      <c r="CM116" s="236">
        <v>70</v>
      </c>
      <c r="CN116" s="217">
        <f>180</f>
        <v>180</v>
      </c>
      <c r="CO116" s="216"/>
      <c r="CP116" s="236">
        <v>100</v>
      </c>
      <c r="CQ116" s="236">
        <v>20</v>
      </c>
      <c r="CR116" s="236">
        <v>10</v>
      </c>
      <c r="CS116" s="217" t="s">
        <v>349</v>
      </c>
      <c r="CT116" s="216"/>
      <c r="CU116" s="217"/>
      <c r="CV116" s="217"/>
      <c r="CW116" s="217"/>
      <c r="CX116" s="217"/>
      <c r="CY116" s="216"/>
      <c r="CZ116" s="217"/>
      <c r="DA116" s="217"/>
      <c r="DB116" s="217"/>
      <c r="DC116" s="217"/>
      <c r="DD116" s="216"/>
      <c r="DE116" s="217"/>
      <c r="DF116" s="217"/>
      <c r="DG116" s="217"/>
      <c r="DH116" s="217"/>
      <c r="DI116" s="216"/>
      <c r="DJ116" s="217"/>
      <c r="DK116" s="217"/>
      <c r="DL116" s="217"/>
      <c r="DM116" s="217"/>
      <c r="DN116" s="216"/>
      <c r="DO116" s="217"/>
      <c r="DP116" s="217"/>
      <c r="DQ116" s="217"/>
      <c r="DR116" s="217"/>
      <c r="DS116" s="216"/>
    </row>
    <row r="117" s="92" customFormat="1" spans="2:123">
      <c r="B117" s="233" t="s">
        <v>350</v>
      </c>
      <c r="C117" s="216"/>
      <c r="D117" s="217"/>
      <c r="E117" s="217"/>
      <c r="F117" s="217"/>
      <c r="G117" s="217"/>
      <c r="H117" s="216"/>
      <c r="I117" s="217"/>
      <c r="J117" s="217"/>
      <c r="K117" s="217"/>
      <c r="L117" s="217"/>
      <c r="M117" s="216"/>
      <c r="N117" s="217"/>
      <c r="O117" s="217"/>
      <c r="P117" s="217"/>
      <c r="Q117" s="217"/>
      <c r="R117" s="216"/>
      <c r="S117" s="217"/>
      <c r="T117" s="217"/>
      <c r="U117" s="217"/>
      <c r="V117" s="217"/>
      <c r="W117" s="216"/>
      <c r="X117" s="217"/>
      <c r="Y117" s="217"/>
      <c r="Z117" s="234"/>
      <c r="AA117" s="234"/>
      <c r="AB117" s="216"/>
      <c r="AC117" s="234"/>
      <c r="AD117" s="234"/>
      <c r="AE117" s="234"/>
      <c r="AF117" s="234"/>
      <c r="AG117" s="216"/>
      <c r="AH117" s="234"/>
      <c r="AI117" s="234"/>
      <c r="AJ117" s="234"/>
      <c r="AK117" s="234"/>
      <c r="AL117" s="216"/>
      <c r="AM117" s="234"/>
      <c r="AN117" s="234"/>
      <c r="AO117" s="234"/>
      <c r="AP117" s="234"/>
      <c r="AQ117" s="216"/>
      <c r="AR117" s="234"/>
      <c r="AS117" s="234"/>
      <c r="AT117" s="234"/>
      <c r="AU117" s="234"/>
      <c r="AV117" s="216"/>
      <c r="AW117" s="234"/>
      <c r="AX117" s="234"/>
      <c r="AY117" s="234"/>
      <c r="AZ117" s="234"/>
      <c r="BA117" s="216"/>
      <c r="BB117" s="234"/>
      <c r="BC117" s="234"/>
      <c r="BD117" s="235"/>
      <c r="BE117" s="217"/>
      <c r="BF117" s="216"/>
      <c r="BG117" s="235"/>
      <c r="BH117" s="235"/>
      <c r="BI117" s="217"/>
      <c r="BJ117" s="217"/>
      <c r="BK117" s="216"/>
      <c r="BL117" s="217"/>
      <c r="BM117" s="217"/>
      <c r="BN117" s="217"/>
      <c r="BO117" s="217"/>
      <c r="BP117" s="216"/>
      <c r="BQ117" s="217">
        <v>120</v>
      </c>
      <c r="BR117" s="217">
        <v>220</v>
      </c>
      <c r="BS117" s="217">
        <v>-100</v>
      </c>
      <c r="BT117" s="767" t="s">
        <v>208</v>
      </c>
      <c r="BU117" s="768" t="s">
        <v>208</v>
      </c>
      <c r="BV117" s="766" t="s">
        <v>208</v>
      </c>
      <c r="BW117" s="766" t="s">
        <v>208</v>
      </c>
      <c r="BX117" s="766" t="s">
        <v>208</v>
      </c>
      <c r="BY117" s="217"/>
      <c r="BZ117" s="216"/>
      <c r="CA117" s="217"/>
      <c r="CB117" s="217"/>
      <c r="CC117" s="217">
        <v>-80</v>
      </c>
      <c r="CD117" s="217" t="s">
        <v>349</v>
      </c>
      <c r="CE117" s="216"/>
      <c r="CF117" s="217">
        <v>280</v>
      </c>
      <c r="CG117" s="217"/>
      <c r="CH117" s="217"/>
      <c r="CI117" s="217" t="s">
        <v>351</v>
      </c>
      <c r="CJ117" s="216"/>
      <c r="CK117" s="217" t="s">
        <v>352</v>
      </c>
      <c r="CL117" s="217">
        <f>-30-30</f>
        <v>-60</v>
      </c>
      <c r="CM117" s="236">
        <f>60-70</f>
        <v>-10</v>
      </c>
      <c r="CN117" s="217">
        <f>-90-20</f>
        <v>-110</v>
      </c>
      <c r="CO117" s="216"/>
      <c r="CP117" s="236">
        <v>-110</v>
      </c>
      <c r="CQ117" s="236">
        <v>-240</v>
      </c>
      <c r="CR117" s="236">
        <v>-180</v>
      </c>
      <c r="CS117" s="217" t="s">
        <v>346</v>
      </c>
      <c r="CT117" s="216"/>
      <c r="CU117" s="217"/>
      <c r="CV117" s="217"/>
      <c r="CW117" s="217"/>
      <c r="CX117" s="217"/>
      <c r="CY117" s="216"/>
      <c r="CZ117" s="217"/>
      <c r="DA117" s="217"/>
      <c r="DB117" s="217"/>
      <c r="DC117" s="217"/>
      <c r="DD117" s="216"/>
      <c r="DE117" s="217"/>
      <c r="DF117" s="217"/>
      <c r="DG117" s="217"/>
      <c r="DH117" s="217"/>
      <c r="DI117" s="216"/>
      <c r="DJ117" s="217"/>
      <c r="DK117" s="217"/>
      <c r="DL117" s="217"/>
      <c r="DM117" s="217"/>
      <c r="DN117" s="216"/>
      <c r="DO117" s="217"/>
      <c r="DP117" s="217"/>
      <c r="DQ117" s="217"/>
      <c r="DR117" s="217"/>
      <c r="DS117" s="216"/>
    </row>
    <row r="118" s="92" customFormat="1" spans="2:123">
      <c r="B118" s="233" t="s">
        <v>343</v>
      </c>
      <c r="C118" s="216"/>
      <c r="D118" s="217"/>
      <c r="E118" s="217"/>
      <c r="F118" s="217"/>
      <c r="G118" s="217"/>
      <c r="H118" s="216"/>
      <c r="I118" s="217"/>
      <c r="J118" s="217"/>
      <c r="K118" s="217"/>
      <c r="L118" s="217"/>
      <c r="M118" s="216"/>
      <c r="N118" s="217"/>
      <c r="O118" s="217"/>
      <c r="P118" s="217"/>
      <c r="Q118" s="217"/>
      <c r="R118" s="216"/>
      <c r="S118" s="217"/>
      <c r="T118" s="217"/>
      <c r="U118" s="217"/>
      <c r="V118" s="217"/>
      <c r="W118" s="216"/>
      <c r="X118" s="217"/>
      <c r="Y118" s="217"/>
      <c r="Z118" s="234"/>
      <c r="AA118" s="234"/>
      <c r="AB118" s="216"/>
      <c r="AC118" s="234"/>
      <c r="AD118" s="234"/>
      <c r="AE118" s="234"/>
      <c r="AF118" s="234"/>
      <c r="AG118" s="216"/>
      <c r="AH118" s="234"/>
      <c r="AI118" s="234"/>
      <c r="AJ118" s="234"/>
      <c r="AK118" s="234"/>
      <c r="AL118" s="216"/>
      <c r="AM118" s="234"/>
      <c r="AN118" s="234"/>
      <c r="AO118" s="234"/>
      <c r="AP118" s="234"/>
      <c r="AQ118" s="216"/>
      <c r="AR118" s="234"/>
      <c r="AS118" s="234"/>
      <c r="AT118" s="234"/>
      <c r="AU118" s="234"/>
      <c r="AV118" s="216"/>
      <c r="AW118" s="234"/>
      <c r="AX118" s="234"/>
      <c r="AY118" s="234"/>
      <c r="AZ118" s="234"/>
      <c r="BA118" s="216"/>
      <c r="BB118" s="234"/>
      <c r="BC118" s="234"/>
      <c r="BD118" s="235"/>
      <c r="BE118" s="235"/>
      <c r="BF118" s="216"/>
      <c r="BG118" s="235"/>
      <c r="BH118" s="235"/>
      <c r="BI118" s="235"/>
      <c r="BJ118" s="235"/>
      <c r="BK118" s="216"/>
      <c r="BL118" s="235"/>
      <c r="BM118" s="235"/>
      <c r="BN118" s="235"/>
      <c r="BO118" s="217"/>
      <c r="BP118" s="216"/>
      <c r="BQ118" s="217">
        <v>-160</v>
      </c>
      <c r="BR118" s="217">
        <v>-20</v>
      </c>
      <c r="BS118" s="217">
        <v>-30</v>
      </c>
      <c r="BT118" s="217">
        <v>-70</v>
      </c>
      <c r="BU118" s="768" t="s">
        <v>208</v>
      </c>
      <c r="BV118" s="217">
        <v>-30</v>
      </c>
      <c r="BW118" s="766" t="s">
        <v>208</v>
      </c>
      <c r="BX118" s="217">
        <v>-30</v>
      </c>
      <c r="BY118" s="217">
        <v>-30</v>
      </c>
      <c r="BZ118" s="216"/>
      <c r="CA118" s="217">
        <v>40</v>
      </c>
      <c r="CB118" s="217"/>
      <c r="CC118" s="217"/>
      <c r="CD118" s="217" t="s">
        <v>353</v>
      </c>
      <c r="CE118" s="216"/>
      <c r="CF118" s="217">
        <v>-90</v>
      </c>
      <c r="CG118" s="217" t="s">
        <v>346</v>
      </c>
      <c r="CH118" s="217" t="s">
        <v>346</v>
      </c>
      <c r="CI118" s="217"/>
      <c r="CJ118" s="216"/>
      <c r="CK118" s="217"/>
      <c r="CL118" s="217">
        <v>30</v>
      </c>
      <c r="CM118" s="236">
        <v>20</v>
      </c>
      <c r="CN118" s="217">
        <v>50</v>
      </c>
      <c r="CO118" s="216"/>
      <c r="CP118" s="236">
        <v>40</v>
      </c>
      <c r="CQ118" s="236">
        <v>60</v>
      </c>
      <c r="CR118" s="236">
        <v>30</v>
      </c>
      <c r="CS118" s="217"/>
      <c r="CT118" s="216"/>
      <c r="CU118" s="217"/>
      <c r="CV118" s="217"/>
      <c r="CW118" s="217"/>
      <c r="CX118" s="217"/>
      <c r="CY118" s="216"/>
      <c r="CZ118" s="217"/>
      <c r="DA118" s="217"/>
      <c r="DB118" s="217"/>
      <c r="DC118" s="217"/>
      <c r="DD118" s="216"/>
      <c r="DE118" s="217"/>
      <c r="DF118" s="217"/>
      <c r="DG118" s="217"/>
      <c r="DH118" s="217"/>
      <c r="DI118" s="216"/>
      <c r="DJ118" s="217"/>
      <c r="DK118" s="217"/>
      <c r="DL118" s="217"/>
      <c r="DM118" s="217"/>
      <c r="DN118" s="216"/>
      <c r="DO118" s="217"/>
      <c r="DP118" s="217"/>
      <c r="DQ118" s="217"/>
      <c r="DR118" s="217"/>
      <c r="DS118" s="216"/>
    </row>
    <row r="119" s="93" customFormat="1" spans="2:123">
      <c r="B119" s="237" t="s">
        <v>56</v>
      </c>
      <c r="C119" s="238"/>
      <c r="D119" s="239"/>
      <c r="E119" s="239"/>
      <c r="F119" s="239"/>
      <c r="G119" s="239"/>
      <c r="H119" s="238"/>
      <c r="I119" s="239"/>
      <c r="J119" s="239"/>
      <c r="K119" s="239"/>
      <c r="L119" s="239"/>
      <c r="M119" s="238"/>
      <c r="N119" s="239"/>
      <c r="O119" s="239"/>
      <c r="P119" s="239"/>
      <c r="Q119" s="239"/>
      <c r="R119" s="238"/>
      <c r="S119" s="239"/>
      <c r="T119" s="239"/>
      <c r="U119" s="239"/>
      <c r="V119" s="239"/>
      <c r="W119" s="238"/>
      <c r="X119" s="239"/>
      <c r="Y119" s="239"/>
      <c r="Z119" s="240"/>
      <c r="AA119" s="240"/>
      <c r="AB119" s="238"/>
      <c r="AC119" s="240"/>
      <c r="AD119" s="240"/>
      <c r="AE119" s="240"/>
      <c r="AF119" s="240"/>
      <c r="AG119" s="241"/>
      <c r="AH119" s="240"/>
      <c r="AI119" s="240"/>
      <c r="AJ119" s="240"/>
      <c r="AK119" s="240"/>
      <c r="AL119" s="241"/>
      <c r="AM119" s="240"/>
      <c r="AN119" s="240"/>
      <c r="AO119" s="240"/>
      <c r="AP119" s="240"/>
      <c r="AQ119" s="241"/>
      <c r="AR119" s="240"/>
      <c r="AS119" s="240"/>
      <c r="AT119" s="240"/>
      <c r="AU119" s="240"/>
      <c r="AV119" s="241"/>
      <c r="AW119" s="240"/>
      <c r="AX119" s="240"/>
      <c r="AY119" s="240"/>
      <c r="AZ119" s="240"/>
      <c r="BA119" s="241"/>
      <c r="BB119" s="240"/>
      <c r="BC119" s="240"/>
      <c r="BD119" s="240"/>
      <c r="BE119" s="240"/>
      <c r="BF119" s="241"/>
      <c r="BG119" s="240"/>
      <c r="BH119" s="240"/>
      <c r="BI119" s="240"/>
      <c r="BJ119" s="240"/>
      <c r="BK119" s="241"/>
      <c r="BL119" s="240"/>
      <c r="BM119" s="240"/>
      <c r="BN119" s="240"/>
      <c r="BO119" s="240"/>
      <c r="BP119" s="241"/>
      <c r="BQ119" s="240">
        <f>SUM(BQ116:BQ118)</f>
        <v>130</v>
      </c>
      <c r="BR119" s="240">
        <f>SUM(BR116:BR118)</f>
        <v>260</v>
      </c>
      <c r="BS119" s="240">
        <f>SUM(BS116:BS118)</f>
        <v>-140</v>
      </c>
      <c r="BT119" s="767" t="s">
        <v>208</v>
      </c>
      <c r="BU119" s="768" t="s">
        <v>208</v>
      </c>
      <c r="BV119" s="766" t="s">
        <v>208</v>
      </c>
      <c r="BW119" s="766" t="s">
        <v>208</v>
      </c>
      <c r="BX119" s="766" t="s">
        <v>208</v>
      </c>
      <c r="BY119" s="239"/>
      <c r="BZ119" s="238"/>
      <c r="CA119" s="239"/>
      <c r="CB119" s="239"/>
      <c r="CC119" s="239"/>
      <c r="CD119" s="239"/>
      <c r="CE119" s="238"/>
      <c r="CF119" s="239"/>
      <c r="CG119" s="239"/>
      <c r="CH119" s="239"/>
      <c r="CI119" s="239"/>
      <c r="CJ119" s="238"/>
      <c r="CK119" s="239"/>
      <c r="CL119" s="239">
        <f>CL116+CL117+CL118</f>
        <v>190</v>
      </c>
      <c r="CM119" s="239">
        <f>CM116+CM117+CM118</f>
        <v>80</v>
      </c>
      <c r="CN119" s="239">
        <f>CN116+CN117+CN118</f>
        <v>120</v>
      </c>
      <c r="CO119" s="238"/>
      <c r="CP119" s="239">
        <f>CP116+CP117+CP118</f>
        <v>30</v>
      </c>
      <c r="CQ119" s="239">
        <f>CQ116+CQ117+CQ118</f>
        <v>-160</v>
      </c>
      <c r="CR119" s="239">
        <f>CR116+CR117+CR118</f>
        <v>-140</v>
      </c>
      <c r="CS119" s="239" t="s">
        <v>346</v>
      </c>
      <c r="CT119" s="238"/>
      <c r="CU119" s="239"/>
      <c r="CV119" s="239"/>
      <c r="CW119" s="239"/>
      <c r="CX119" s="239"/>
      <c r="CY119" s="238"/>
      <c r="CZ119" s="239"/>
      <c r="DA119" s="239"/>
      <c r="DB119" s="239"/>
      <c r="DC119" s="239"/>
      <c r="DD119" s="238"/>
      <c r="DE119" s="239"/>
      <c r="DF119" s="239"/>
      <c r="DG119" s="239"/>
      <c r="DH119" s="239"/>
      <c r="DI119" s="238"/>
      <c r="DJ119" s="239"/>
      <c r="DK119" s="239"/>
      <c r="DL119" s="239"/>
      <c r="DM119" s="239"/>
      <c r="DN119" s="238"/>
      <c r="DO119" s="239"/>
      <c r="DP119" s="239"/>
      <c r="DQ119" s="239"/>
      <c r="DR119" s="239"/>
      <c r="DS119" s="238"/>
    </row>
    <row r="120" spans="2:123">
      <c r="B120" s="130"/>
      <c r="C120" s="242"/>
      <c r="D120" s="120"/>
      <c r="E120" s="120"/>
      <c r="F120" s="120"/>
      <c r="G120" s="120"/>
      <c r="H120" s="119"/>
      <c r="I120" s="120"/>
      <c r="J120" s="120"/>
      <c r="K120" s="120"/>
      <c r="L120" s="120"/>
      <c r="M120" s="119"/>
      <c r="N120" s="120"/>
      <c r="O120" s="120"/>
      <c r="P120" s="120"/>
      <c r="Q120" s="120"/>
      <c r="R120" s="119"/>
      <c r="S120" s="120"/>
      <c r="T120" s="120"/>
      <c r="U120" s="120"/>
      <c r="V120" s="120"/>
      <c r="W120" s="119"/>
      <c r="X120" s="120"/>
      <c r="Y120" s="120"/>
      <c r="Z120" s="120"/>
      <c r="AA120" s="120"/>
      <c r="AB120" s="119"/>
      <c r="AC120" s="120"/>
      <c r="AD120" s="120"/>
      <c r="AE120" s="120"/>
      <c r="AF120" s="120"/>
      <c r="AG120" s="119"/>
      <c r="AH120" s="120"/>
      <c r="AI120" s="120"/>
      <c r="AJ120" s="120"/>
      <c r="AK120" s="120"/>
      <c r="AL120" s="119"/>
      <c r="AM120" s="120"/>
      <c r="AN120" s="120"/>
      <c r="AO120" s="120"/>
      <c r="AP120" s="120"/>
      <c r="AQ120" s="119"/>
      <c r="AR120" s="120"/>
      <c r="AS120" s="120"/>
      <c r="AT120" s="120"/>
      <c r="AU120" s="120"/>
      <c r="AV120" s="119"/>
      <c r="AW120" s="120"/>
      <c r="AX120" s="120"/>
      <c r="AY120" s="120"/>
      <c r="AZ120" s="120"/>
      <c r="BA120" s="119"/>
      <c r="BB120" s="120"/>
      <c r="BC120" s="120"/>
      <c r="BD120" s="120"/>
      <c r="BE120" s="120"/>
      <c r="BF120" s="119"/>
      <c r="BG120" s="120"/>
      <c r="BH120" s="120"/>
      <c r="BI120" s="120"/>
      <c r="BJ120" s="120"/>
      <c r="BK120" s="119"/>
      <c r="BL120" s="120"/>
      <c r="BM120" s="120"/>
      <c r="BN120" s="120"/>
      <c r="BO120" s="120"/>
      <c r="BP120" s="119"/>
      <c r="BQ120" s="120"/>
      <c r="BR120" s="120"/>
      <c r="BS120" s="120"/>
      <c r="BT120" s="120"/>
      <c r="BU120" s="119"/>
      <c r="BV120" s="120"/>
      <c r="BW120" s="120"/>
      <c r="BX120" s="120"/>
      <c r="BY120" s="120"/>
      <c r="BZ120" s="119"/>
      <c r="CA120" s="120"/>
      <c r="CB120" s="120"/>
      <c r="CC120" s="120"/>
      <c r="CD120" s="120"/>
      <c r="CE120" s="119"/>
      <c r="CF120" s="120"/>
      <c r="CG120" s="120"/>
      <c r="CH120" s="120"/>
      <c r="CI120" s="120"/>
      <c r="CJ120" s="119"/>
      <c r="CK120" s="120"/>
      <c r="CL120" s="244"/>
      <c r="CM120" s="120"/>
      <c r="CN120" s="120"/>
      <c r="CO120" s="119"/>
      <c r="CP120" s="120"/>
      <c r="CQ120" s="120"/>
      <c r="CR120" s="120"/>
      <c r="CS120" s="120"/>
      <c r="CT120" s="119"/>
      <c r="CU120" s="120"/>
      <c r="CV120" s="120"/>
      <c r="CW120" s="120"/>
      <c r="CX120" s="120"/>
      <c r="CY120" s="119"/>
      <c r="CZ120" s="120"/>
      <c r="DA120" s="120"/>
      <c r="DB120" s="120"/>
      <c r="DC120" s="120"/>
      <c r="DD120" s="119"/>
      <c r="DE120" s="120"/>
      <c r="DF120" s="120"/>
      <c r="DG120" s="120"/>
      <c r="DH120" s="120"/>
      <c r="DI120" s="119"/>
      <c r="DJ120" s="120"/>
      <c r="DK120" s="120"/>
      <c r="DL120" s="120"/>
      <c r="DM120" s="120"/>
      <c r="DN120" s="119"/>
      <c r="DO120" s="120"/>
      <c r="DP120" s="120"/>
      <c r="DQ120" s="120"/>
      <c r="DR120" s="120"/>
      <c r="DS120" s="119"/>
    </row>
    <row r="121" hidden="1" outlineLevel="1" spans="2:123">
      <c r="B121" s="184" t="s">
        <v>354</v>
      </c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  <c r="BM121" s="185"/>
      <c r="BN121" s="185"/>
      <c r="BO121" s="185"/>
      <c r="BP121" s="185"/>
      <c r="BQ121" s="185"/>
      <c r="BR121" s="185"/>
      <c r="BS121" s="185"/>
      <c r="BT121" s="185"/>
      <c r="BU121" s="185"/>
      <c r="BV121" s="185"/>
      <c r="BW121" s="185"/>
      <c r="BX121" s="185"/>
      <c r="BY121" s="185"/>
      <c r="BZ121" s="185"/>
      <c r="CA121" s="185"/>
      <c r="CB121" s="185"/>
      <c r="CC121" s="185"/>
      <c r="CD121" s="185"/>
      <c r="CE121" s="185"/>
      <c r="CF121" s="185"/>
      <c r="CG121" s="185"/>
      <c r="CH121" s="185"/>
      <c r="CI121" s="185"/>
      <c r="CJ121" s="185"/>
      <c r="CK121" s="185"/>
      <c r="CL121" s="185"/>
      <c r="CM121" s="185"/>
      <c r="CN121" s="185"/>
      <c r="CO121" s="185"/>
      <c r="CP121" s="185"/>
      <c r="CQ121" s="185"/>
      <c r="CR121" s="185"/>
      <c r="CS121" s="185"/>
      <c r="CT121" s="185"/>
      <c r="CU121" s="185"/>
      <c r="CV121" s="185"/>
      <c r="CW121" s="185"/>
      <c r="CX121" s="185"/>
      <c r="CY121" s="185"/>
      <c r="CZ121" s="185"/>
      <c r="DA121" s="185"/>
      <c r="DB121" s="185"/>
      <c r="DC121" s="185"/>
      <c r="DD121" s="185"/>
      <c r="DE121" s="185"/>
      <c r="DF121" s="185"/>
      <c r="DG121" s="185"/>
      <c r="DH121" s="185"/>
      <c r="DI121" s="185"/>
      <c r="DJ121" s="185"/>
      <c r="DK121" s="185"/>
      <c r="DL121" s="185"/>
      <c r="DM121" s="185"/>
      <c r="DN121" s="185"/>
      <c r="DO121" s="185"/>
      <c r="DP121" s="185"/>
      <c r="DQ121" s="185"/>
      <c r="DR121" s="185"/>
      <c r="DS121" s="186"/>
    </row>
    <row r="122" hidden="1" outlineLevel="1" spans="2:123">
      <c r="B122" s="245"/>
      <c r="C122" s="246"/>
      <c r="D122" s="247"/>
      <c r="E122" s="247"/>
      <c r="F122" s="247"/>
      <c r="G122" s="247"/>
      <c r="H122" s="246"/>
      <c r="I122" s="247"/>
      <c r="J122" s="247"/>
      <c r="K122" s="247"/>
      <c r="L122" s="247"/>
      <c r="M122" s="246"/>
      <c r="N122" s="247"/>
      <c r="O122" s="247"/>
      <c r="P122" s="247"/>
      <c r="Q122" s="247"/>
      <c r="R122" s="246"/>
      <c r="S122" s="247"/>
      <c r="T122" s="247"/>
      <c r="U122" s="247"/>
      <c r="V122" s="247"/>
      <c r="W122" s="246"/>
      <c r="X122" s="247"/>
      <c r="Y122" s="247"/>
      <c r="Z122" s="247"/>
      <c r="AA122" s="247"/>
      <c r="AB122" s="246"/>
      <c r="AC122" s="247"/>
      <c r="AD122" s="247"/>
      <c r="AE122" s="247"/>
      <c r="AF122" s="247"/>
      <c r="AG122" s="246"/>
      <c r="AH122" s="247"/>
      <c r="AI122" s="247"/>
      <c r="AJ122" s="247"/>
      <c r="AK122" s="247"/>
      <c r="AL122" s="246"/>
      <c r="AM122" s="247"/>
      <c r="AN122" s="247"/>
      <c r="AO122" s="247"/>
      <c r="AP122" s="247"/>
      <c r="AQ122" s="246"/>
      <c r="AR122" s="247"/>
      <c r="AS122" s="247"/>
      <c r="AT122" s="247"/>
      <c r="AU122" s="247"/>
      <c r="AV122" s="246"/>
      <c r="AW122" s="247"/>
      <c r="AX122" s="247"/>
      <c r="AY122" s="247"/>
      <c r="AZ122" s="247"/>
      <c r="BA122" s="246"/>
      <c r="BB122" s="247"/>
      <c r="BC122" s="247"/>
      <c r="BD122" s="247"/>
      <c r="BE122" s="247"/>
      <c r="BF122" s="246"/>
      <c r="BG122" s="247"/>
      <c r="BH122" s="247"/>
      <c r="BI122" s="247"/>
      <c r="BJ122" s="247"/>
      <c r="BK122" s="246"/>
      <c r="BL122" s="247"/>
      <c r="BM122" s="247"/>
      <c r="BN122" s="247"/>
      <c r="BO122" s="247"/>
      <c r="BP122" s="246"/>
      <c r="BQ122" s="247"/>
      <c r="BR122" s="247"/>
      <c r="BS122" s="247"/>
      <c r="BT122" s="247"/>
      <c r="BU122" s="246"/>
      <c r="BV122" s="247"/>
      <c r="BW122" s="247"/>
      <c r="BX122" s="247"/>
      <c r="BY122" s="247"/>
      <c r="BZ122" s="246"/>
      <c r="CA122" s="247"/>
      <c r="CB122" s="247"/>
      <c r="CC122" s="247"/>
      <c r="CD122" s="247"/>
      <c r="CE122" s="246"/>
      <c r="CF122" s="247"/>
      <c r="CG122" s="247"/>
      <c r="CH122" s="247"/>
      <c r="CI122" s="247"/>
      <c r="CJ122" s="246"/>
      <c r="CK122" s="247"/>
      <c r="CL122" s="247"/>
      <c r="CM122" s="247"/>
      <c r="CN122" s="247"/>
      <c r="CO122" s="246"/>
      <c r="CP122" s="247"/>
      <c r="CQ122" s="247"/>
      <c r="CR122" s="247"/>
      <c r="CS122" s="247"/>
      <c r="CT122" s="246"/>
      <c r="CU122" s="247"/>
      <c r="CV122" s="247"/>
      <c r="CW122" s="247"/>
      <c r="CX122" s="247"/>
      <c r="CY122" s="246"/>
      <c r="CZ122" s="247"/>
      <c r="DA122" s="247"/>
      <c r="DB122" s="247"/>
      <c r="DC122" s="247"/>
      <c r="DD122" s="246"/>
      <c r="DE122" s="247"/>
      <c r="DF122" s="247"/>
      <c r="DG122" s="247"/>
      <c r="DH122" s="247"/>
      <c r="DI122" s="246"/>
      <c r="DJ122" s="247"/>
      <c r="DK122" s="247"/>
      <c r="DL122" s="247"/>
      <c r="DM122" s="247"/>
      <c r="DN122" s="246"/>
      <c r="DO122" s="247"/>
      <c r="DP122" s="247"/>
      <c r="DQ122" s="247"/>
      <c r="DR122" s="247"/>
      <c r="DS122" s="246"/>
    </row>
    <row r="123" hidden="1" outlineLevel="1" spans="2:123">
      <c r="B123" s="245" t="s">
        <v>355</v>
      </c>
      <c r="C123" s="248">
        <f t="shared" ref="C123:AH123" si="899">C134-C129-C97</f>
        <v>-16.695</v>
      </c>
      <c r="D123" s="249">
        <f t="shared" si="899"/>
        <v>-6.90821630622876</v>
      </c>
      <c r="E123" s="249">
        <f t="shared" si="899"/>
        <v>-6.5404567558348</v>
      </c>
      <c r="F123" s="249">
        <f t="shared" si="899"/>
        <v>-8.13076857977644</v>
      </c>
      <c r="G123" s="249">
        <f t="shared" si="899"/>
        <v>-13.73124135816</v>
      </c>
      <c r="H123" s="248">
        <f t="shared" si="899"/>
        <v>-35.310683</v>
      </c>
      <c r="I123" s="249">
        <f t="shared" si="899"/>
        <v>-10.8452365860772</v>
      </c>
      <c r="J123" s="249">
        <f t="shared" si="899"/>
        <v>-13.457172727402</v>
      </c>
      <c r="K123" s="249">
        <f t="shared" si="899"/>
        <v>-13.6289505124822</v>
      </c>
      <c r="L123" s="249">
        <f t="shared" si="899"/>
        <v>-21.1532401740386</v>
      </c>
      <c r="M123" s="248">
        <f t="shared" si="899"/>
        <v>-59.0846</v>
      </c>
      <c r="N123" s="249">
        <f t="shared" si="899"/>
        <v>-16.7695470875775</v>
      </c>
      <c r="O123" s="249">
        <f t="shared" si="899"/>
        <v>-21.1129221700852</v>
      </c>
      <c r="P123" s="249">
        <f t="shared" si="899"/>
        <v>-23.0978488299148</v>
      </c>
      <c r="Q123" s="249">
        <f t="shared" si="899"/>
        <v>-40.1333889124225</v>
      </c>
      <c r="R123" s="248">
        <f t="shared" si="899"/>
        <v>-101.113707</v>
      </c>
      <c r="S123" s="249">
        <f t="shared" si="899"/>
        <v>-26.4950345767979</v>
      </c>
      <c r="T123" s="249">
        <f t="shared" si="899"/>
        <v>-29.7361041385851</v>
      </c>
      <c r="U123" s="249">
        <f t="shared" si="899"/>
        <v>-32.4314714881312</v>
      </c>
      <c r="V123" s="249">
        <f t="shared" si="899"/>
        <v>-37.9805197964858</v>
      </c>
      <c r="W123" s="248">
        <f t="shared" si="899"/>
        <v>-126.64313</v>
      </c>
      <c r="X123" s="249">
        <f t="shared" si="899"/>
        <v>-32.3402443829934</v>
      </c>
      <c r="Y123" s="249">
        <f t="shared" si="899"/>
        <v>-37.1185771402235</v>
      </c>
      <c r="Z123" s="249">
        <f t="shared" si="899"/>
        <v>-40.5495754119138</v>
      </c>
      <c r="AA123" s="249">
        <f t="shared" si="899"/>
        <v>-57.4076030648692</v>
      </c>
      <c r="AB123" s="248">
        <f t="shared" si="899"/>
        <v>-167.416</v>
      </c>
      <c r="AC123" s="249">
        <f t="shared" si="899"/>
        <v>-46.2620755057803</v>
      </c>
      <c r="AD123" s="249">
        <f t="shared" si="899"/>
        <v>-52.3661918352601</v>
      </c>
      <c r="AE123" s="249">
        <f t="shared" si="899"/>
        <v>-58.8524429190751</v>
      </c>
      <c r="AF123" s="249">
        <f t="shared" si="899"/>
        <v>-81.5912897398844</v>
      </c>
      <c r="AG123" s="248">
        <f t="shared" si="899"/>
        <v>-239.072</v>
      </c>
      <c r="AH123" s="249">
        <f t="shared" si="899"/>
        <v>-56.0621406799531</v>
      </c>
      <c r="AI123" s="249">
        <f t="shared" ref="AI123:BN123" si="900">AI134-AI129-AI97</f>
        <v>-66.9599642438453</v>
      </c>
      <c r="AJ123" s="249">
        <f t="shared" si="900"/>
        <v>-76.9476113716295</v>
      </c>
      <c r="AK123" s="249">
        <f t="shared" si="900"/>
        <v>-134.168283704572</v>
      </c>
      <c r="AL123" s="248">
        <f t="shared" si="900"/>
        <v>-334.138</v>
      </c>
      <c r="AM123" s="249">
        <f t="shared" si="900"/>
        <v>-99.5790419935395</v>
      </c>
      <c r="AN123" s="249">
        <f t="shared" si="900"/>
        <v>-97.3042095062298</v>
      </c>
      <c r="AO123" s="249">
        <f t="shared" si="900"/>
        <v>-108.623979695431</v>
      </c>
      <c r="AP123" s="249">
        <f t="shared" si="900"/>
        <v>-176.596768804799</v>
      </c>
      <c r="AQ123" s="248">
        <f t="shared" si="900"/>
        <v>-482.104</v>
      </c>
      <c r="AR123" s="249">
        <f t="shared" si="900"/>
        <v>-144.140870411985</v>
      </c>
      <c r="AS123" s="249">
        <f t="shared" si="900"/>
        <v>-126.481047191011</v>
      </c>
      <c r="AT123" s="249">
        <f t="shared" si="900"/>
        <v>-140.958356554307</v>
      </c>
      <c r="AU123" s="249">
        <f t="shared" si="900"/>
        <v>-207.095725842697</v>
      </c>
      <c r="AV123" s="248">
        <f t="shared" si="900"/>
        <v>-618.676</v>
      </c>
      <c r="AW123" s="249">
        <f t="shared" si="900"/>
        <v>-153.002295051354</v>
      </c>
      <c r="AX123" s="249">
        <f t="shared" si="900"/>
        <v>-155.620679271709</v>
      </c>
      <c r="AY123" s="249">
        <f t="shared" si="900"/>
        <v>-167.245110644258</v>
      </c>
      <c r="AZ123" s="249">
        <f t="shared" si="900"/>
        <v>-248.77191503268</v>
      </c>
      <c r="BA123" s="248">
        <f t="shared" si="900"/>
        <v>-724.64</v>
      </c>
      <c r="BB123" s="249">
        <f t="shared" si="900"/>
        <v>-172.773983721226</v>
      </c>
      <c r="BC123" s="249">
        <f t="shared" si="900"/>
        <v>-193.957353936157</v>
      </c>
      <c r="BD123" s="249">
        <f t="shared" si="900"/>
        <v>-203.194074271906</v>
      </c>
      <c r="BE123" s="250">
        <f t="shared" si="900"/>
        <v>-295.567588070711</v>
      </c>
      <c r="BF123" s="248">
        <f t="shared" si="900"/>
        <v>-865.493</v>
      </c>
      <c r="BG123" s="249">
        <f t="shared" si="900"/>
        <v>-201.618990304246</v>
      </c>
      <c r="BH123" s="249">
        <f t="shared" si="900"/>
        <v>-203.524345592333</v>
      </c>
      <c r="BI123" s="249">
        <f t="shared" si="900"/>
        <v>-204.890419703555</v>
      </c>
      <c r="BJ123" s="250">
        <f t="shared" si="900"/>
        <v>-299.644244399866</v>
      </c>
      <c r="BK123" s="248">
        <f t="shared" si="900"/>
        <v>-909.678</v>
      </c>
      <c r="BL123" s="249">
        <f t="shared" si="900"/>
        <v>-193.325730569948</v>
      </c>
      <c r="BM123" s="249">
        <f t="shared" si="900"/>
        <v>-210.645564766839</v>
      </c>
      <c r="BN123" s="249">
        <f t="shared" si="900"/>
        <v>-225.189606217617</v>
      </c>
      <c r="BO123" s="251">
        <f>BO134-BO97-BO129</f>
        <v>-336.997098445596</v>
      </c>
      <c r="BP123" s="248">
        <f>BP134-BP129-BP97</f>
        <v>-966.158</v>
      </c>
      <c r="BQ123" s="249">
        <f>BQ134-BQ129-BQ97</f>
        <v>-231.579553690635</v>
      </c>
      <c r="BR123" s="249">
        <f>BR134-BR129-BR97</f>
        <v>-249.933616250238</v>
      </c>
      <c r="BS123" s="249">
        <f>BS134-BS129-BS97</f>
        <v>-259.021677665459</v>
      </c>
      <c r="BT123" s="251">
        <f>BT134-BT97-BT129</f>
        <v>-411.013152393668</v>
      </c>
      <c r="BU123" s="248">
        <f>BU134-BU129-BU97</f>
        <v>-1151.548</v>
      </c>
      <c r="BV123" s="249">
        <f>BV134-BV129-BV97</f>
        <v>-267.433</v>
      </c>
      <c r="BW123" s="249">
        <f>BW134-BW129-BW97</f>
        <v>-296.617</v>
      </c>
      <c r="BX123" s="249">
        <f>BX134-BX129-BX97</f>
        <v>-301.923</v>
      </c>
      <c r="BY123" s="251">
        <f>BY134-BY97-BY129</f>
        <v>-471.322</v>
      </c>
      <c r="BZ123" s="248">
        <f t="shared" ref="BZ123:CM123" si="901">BZ134-BZ129-BZ97</f>
        <v>-1337.295</v>
      </c>
      <c r="CA123" s="249">
        <f t="shared" si="901"/>
        <v>-209.324180555556</v>
      </c>
      <c r="CB123" s="249">
        <f t="shared" si="901"/>
        <v>-307.102815972222</v>
      </c>
      <c r="CC123" s="249">
        <f t="shared" si="901"/>
        <v>-373.628184027778</v>
      </c>
      <c r="CD123" s="249">
        <f t="shared" si="901"/>
        <v>-596.145819444444</v>
      </c>
      <c r="CE123" s="248">
        <f t="shared" si="901"/>
        <v>-1486.201</v>
      </c>
      <c r="CF123" s="249">
        <f t="shared" si="901"/>
        <v>-398.50561326223</v>
      </c>
      <c r="CG123" s="249">
        <f t="shared" si="901"/>
        <v>-476.172803848829</v>
      </c>
      <c r="CH123" s="249">
        <f t="shared" si="901"/>
        <v>-482.80045977278</v>
      </c>
      <c r="CI123" s="251">
        <f t="shared" si="901"/>
        <v>-747.60012311616</v>
      </c>
      <c r="CJ123" s="248">
        <f t="shared" si="901"/>
        <v>-2105.079</v>
      </c>
      <c r="CK123" s="249">
        <f t="shared" si="901"/>
        <v>-588.660274363749</v>
      </c>
      <c r="CL123" s="249">
        <f t="shared" si="901"/>
        <v>-652.913145251397</v>
      </c>
      <c r="CM123" s="249">
        <f t="shared" si="901"/>
        <v>-643.448926753569</v>
      </c>
      <c r="CN123" s="251">
        <f>CN134-CN97-CN129</f>
        <v>-1001.43865363128</v>
      </c>
      <c r="CO123" s="248">
        <f>CO134-CO129-CO97</f>
        <v>-2886.461</v>
      </c>
      <c r="CP123" s="249">
        <f>CP134-CP129-CP97</f>
        <v>-656.006986681465</v>
      </c>
      <c r="CQ123" s="249">
        <f>CQ134-CQ129-CQ97</f>
        <v>-705.362848316685</v>
      </c>
      <c r="CR123" s="249">
        <f>CR134-CR129-CR97</f>
        <v>-712.591770625231</v>
      </c>
      <c r="CS123" s="251">
        <f>CS134-CS97-CS129</f>
        <v>-1081.85039437662</v>
      </c>
      <c r="CT123" s="248">
        <f>CT134-CT129-CT97</f>
        <v>-3155.812</v>
      </c>
      <c r="CU123" s="249"/>
      <c r="CV123" s="249"/>
      <c r="CW123" s="249"/>
      <c r="CX123" s="251"/>
      <c r="CY123" s="248"/>
      <c r="CZ123" s="249"/>
      <c r="DA123" s="249"/>
      <c r="DB123" s="249"/>
      <c r="DC123" s="251"/>
      <c r="DD123" s="248"/>
      <c r="DE123" s="249"/>
      <c r="DF123" s="249"/>
      <c r="DG123" s="249"/>
      <c r="DH123" s="251"/>
      <c r="DI123" s="248"/>
      <c r="DJ123" s="249"/>
      <c r="DK123" s="249"/>
      <c r="DL123" s="249"/>
      <c r="DM123" s="251"/>
      <c r="DN123" s="248"/>
      <c r="DO123" s="249"/>
      <c r="DP123" s="249"/>
      <c r="DQ123" s="249"/>
      <c r="DR123" s="251"/>
      <c r="DS123" s="248"/>
    </row>
    <row r="124" hidden="1" outlineLevel="1" spans="2:123">
      <c r="B124" s="149" t="s">
        <v>69</v>
      </c>
      <c r="C124" s="252"/>
      <c r="D124" s="253"/>
      <c r="E124" s="253"/>
      <c r="F124" s="253"/>
      <c r="G124" s="253"/>
      <c r="H124" s="254">
        <f t="shared" ref="H124:AM124" si="902">H123/C123-1</f>
        <v>1.11504540281521</v>
      </c>
      <c r="I124" s="255">
        <f t="shared" si="902"/>
        <v>0.569904025196579</v>
      </c>
      <c r="J124" s="255">
        <f t="shared" si="902"/>
        <v>1.0575279723999</v>
      </c>
      <c r="K124" s="255">
        <f t="shared" si="902"/>
        <v>0.676219213320291</v>
      </c>
      <c r="L124" s="255">
        <f t="shared" si="902"/>
        <v>0.540519143337903</v>
      </c>
      <c r="M124" s="254">
        <f t="shared" si="902"/>
        <v>0.673278310702741</v>
      </c>
      <c r="N124" s="255">
        <f t="shared" si="902"/>
        <v>0.546259222146039</v>
      </c>
      <c r="O124" s="255">
        <f t="shared" si="902"/>
        <v>0.568897315785673</v>
      </c>
      <c r="P124" s="255">
        <f t="shared" si="902"/>
        <v>0.694763570295486</v>
      </c>
      <c r="Q124" s="255">
        <f t="shared" si="902"/>
        <v>0.897269098361501</v>
      </c>
      <c r="R124" s="254">
        <f t="shared" si="902"/>
        <v>0.711337759754657</v>
      </c>
      <c r="S124" s="255">
        <f t="shared" si="902"/>
        <v>0.579949323522573</v>
      </c>
      <c r="T124" s="255">
        <f t="shared" si="902"/>
        <v>0.408431476184672</v>
      </c>
      <c r="U124" s="255">
        <f t="shared" si="902"/>
        <v>0.404090559555833</v>
      </c>
      <c r="V124" s="255">
        <f t="shared" si="902"/>
        <v>-0.0536428438832981</v>
      </c>
      <c r="W124" s="254">
        <f t="shared" si="902"/>
        <v>0.252482316764432</v>
      </c>
      <c r="X124" s="255">
        <f t="shared" si="902"/>
        <v>0.220615292622197</v>
      </c>
      <c r="Y124" s="255">
        <f t="shared" si="902"/>
        <v>0.24826631515791</v>
      </c>
      <c r="Z124" s="255">
        <f t="shared" si="902"/>
        <v>0.25031562094719</v>
      </c>
      <c r="AA124" s="255">
        <f t="shared" si="902"/>
        <v>0.511501247810226</v>
      </c>
      <c r="AB124" s="254">
        <f t="shared" si="902"/>
        <v>0.32195090250849</v>
      </c>
      <c r="AC124" s="255">
        <f t="shared" si="902"/>
        <v>0.430480084130344</v>
      </c>
      <c r="AD124" s="255">
        <f t="shared" si="902"/>
        <v>0.410781227885848</v>
      </c>
      <c r="AE124" s="255">
        <f t="shared" si="902"/>
        <v>0.451370139421578</v>
      </c>
      <c r="AF124" s="255">
        <f t="shared" si="902"/>
        <v>0.421262783741174</v>
      </c>
      <c r="AG124" s="254">
        <f t="shared" si="902"/>
        <v>0.428011659578534</v>
      </c>
      <c r="AH124" s="255">
        <f t="shared" si="902"/>
        <v>0.211837991854651</v>
      </c>
      <c r="AI124" s="255">
        <f t="shared" si="902"/>
        <v>0.278686914154384</v>
      </c>
      <c r="AJ124" s="255">
        <f t="shared" si="902"/>
        <v>0.307466734684847</v>
      </c>
      <c r="AK124" s="255">
        <f t="shared" si="902"/>
        <v>0.64439469129983</v>
      </c>
      <c r="AL124" s="254">
        <f t="shared" si="902"/>
        <v>0.397645897470219</v>
      </c>
      <c r="AM124" s="255">
        <f t="shared" si="902"/>
        <v>0.776226180195564</v>
      </c>
      <c r="AN124" s="255">
        <f t="shared" ref="AN124:BS124" si="903">AN123/AI123-1</f>
        <v>0.453169974103947</v>
      </c>
      <c r="AO124" s="255">
        <f t="shared" si="903"/>
        <v>0.411661489670113</v>
      </c>
      <c r="AP124" s="255">
        <f t="shared" si="903"/>
        <v>0.316233344637927</v>
      </c>
      <c r="AQ124" s="254">
        <f t="shared" si="903"/>
        <v>0.442829010768006</v>
      </c>
      <c r="AR124" s="255">
        <f t="shared" si="903"/>
        <v>0.447502080019375</v>
      </c>
      <c r="AS124" s="255">
        <f t="shared" si="903"/>
        <v>0.299851751870132</v>
      </c>
      <c r="AT124" s="255">
        <f t="shared" si="903"/>
        <v>0.297672548451432</v>
      </c>
      <c r="AU124" s="255">
        <f t="shared" si="903"/>
        <v>0.172703935889163</v>
      </c>
      <c r="AV124" s="254">
        <f t="shared" si="903"/>
        <v>0.283283274978013</v>
      </c>
      <c r="AW124" s="255">
        <f t="shared" si="903"/>
        <v>0.0614775296835728</v>
      </c>
      <c r="AX124" s="255">
        <f t="shared" si="903"/>
        <v>0.230387340458139</v>
      </c>
      <c r="AY124" s="255">
        <f t="shared" si="903"/>
        <v>0.186485957502087</v>
      </c>
      <c r="AZ124" s="255">
        <f t="shared" si="903"/>
        <v>0.20124118457973</v>
      </c>
      <c r="BA124" s="254">
        <f t="shared" si="903"/>
        <v>0.171275433344755</v>
      </c>
      <c r="BB124" s="255">
        <f t="shared" si="903"/>
        <v>0.12922478491735</v>
      </c>
      <c r="BC124" s="255">
        <f t="shared" si="903"/>
        <v>0.24634691767097</v>
      </c>
      <c r="BD124" s="255">
        <f t="shared" si="903"/>
        <v>0.21494777030651</v>
      </c>
      <c r="BE124" s="255">
        <f t="shared" si="903"/>
        <v>0.188106736372889</v>
      </c>
      <c r="BF124" s="254">
        <f t="shared" si="903"/>
        <v>0.194376517995142</v>
      </c>
      <c r="BG124" s="255">
        <f t="shared" si="903"/>
        <v>0.166952257288701</v>
      </c>
      <c r="BH124" s="255">
        <f t="shared" si="903"/>
        <v>0.0493252329031304</v>
      </c>
      <c r="BI124" s="255">
        <f t="shared" si="903"/>
        <v>0.00834840010825677</v>
      </c>
      <c r="BJ124" s="255">
        <f t="shared" si="903"/>
        <v>0.0137926365869998</v>
      </c>
      <c r="BK124" s="254">
        <f t="shared" si="903"/>
        <v>0.0510518282643535</v>
      </c>
      <c r="BL124" s="255">
        <f t="shared" si="903"/>
        <v>-0.0411333263884679</v>
      </c>
      <c r="BM124" s="255">
        <f t="shared" si="903"/>
        <v>0.0349895200683801</v>
      </c>
      <c r="BN124" s="255">
        <f t="shared" si="903"/>
        <v>0.0990733805095976</v>
      </c>
      <c r="BO124" s="255">
        <f t="shared" si="903"/>
        <v>0.124657338640162</v>
      </c>
      <c r="BP124" s="254">
        <f t="shared" si="903"/>
        <v>0.0620879036318347</v>
      </c>
      <c r="BQ124" s="255">
        <f t="shared" si="903"/>
        <v>0.197872383608276</v>
      </c>
      <c r="BR124" s="255">
        <f t="shared" si="903"/>
        <v>0.18651259772256</v>
      </c>
      <c r="BS124" s="255">
        <f t="shared" si="903"/>
        <v>0.150238157151657</v>
      </c>
      <c r="BT124" s="255">
        <f t="shared" ref="BT124:CT124" si="904">BT123/BO123-1</f>
        <v>0.219634098600469</v>
      </c>
      <c r="BU124" s="254">
        <f t="shared" si="904"/>
        <v>0.191883729162311</v>
      </c>
      <c r="BV124" s="255">
        <f t="shared" si="904"/>
        <v>0.154821294617664</v>
      </c>
      <c r="BW124" s="255">
        <f t="shared" si="904"/>
        <v>0.186783132457945</v>
      </c>
      <c r="BX124" s="255">
        <f t="shared" si="904"/>
        <v>0.165628308492198</v>
      </c>
      <c r="BY124" s="255">
        <f t="shared" si="904"/>
        <v>0.146732159920198</v>
      </c>
      <c r="BZ124" s="254">
        <f t="shared" si="904"/>
        <v>0.161302003911257</v>
      </c>
      <c r="CA124" s="255">
        <f t="shared" si="904"/>
        <v>-0.217283654015938</v>
      </c>
      <c r="CB124" s="255">
        <f t="shared" si="904"/>
        <v>0.0353513654720472</v>
      </c>
      <c r="CC124" s="255">
        <f t="shared" si="904"/>
        <v>0.237494937542942</v>
      </c>
      <c r="CD124" s="255">
        <f t="shared" si="904"/>
        <v>0.264837668185327</v>
      </c>
      <c r="CE124" s="254">
        <f t="shared" si="904"/>
        <v>0.111348655307916</v>
      </c>
      <c r="CF124" s="255">
        <f t="shared" si="904"/>
        <v>0.903772474850153</v>
      </c>
      <c r="CG124" s="255">
        <f t="shared" si="904"/>
        <v>0.550532196656573</v>
      </c>
      <c r="CH124" s="255">
        <f t="shared" si="904"/>
        <v>0.292194969255547</v>
      </c>
      <c r="CI124" s="255">
        <f t="shared" si="904"/>
        <v>0.254055800999927</v>
      </c>
      <c r="CJ124" s="254">
        <f t="shared" si="904"/>
        <v>0.416416083692583</v>
      </c>
      <c r="CK124" s="255">
        <f t="shared" si="904"/>
        <v>0.477169341593165</v>
      </c>
      <c r="CL124" s="255">
        <f t="shared" si="904"/>
        <v>0.37116849171982</v>
      </c>
      <c r="CM124" s="255">
        <f t="shared" si="904"/>
        <v>0.332742986732853</v>
      </c>
      <c r="CN124" s="255">
        <f t="shared" si="904"/>
        <v>0.339537839369354</v>
      </c>
      <c r="CO124" s="254">
        <f t="shared" si="904"/>
        <v>0.371188919750755</v>
      </c>
      <c r="CP124" s="255">
        <f t="shared" si="904"/>
        <v>0.114406755900943</v>
      </c>
      <c r="CQ124" s="255">
        <f t="shared" si="904"/>
        <v>0.0803318227650225</v>
      </c>
      <c r="CR124" s="255">
        <f t="shared" si="904"/>
        <v>0.107456615431022</v>
      </c>
      <c r="CS124" s="255">
        <f t="shared" si="904"/>
        <v>0.0802962222935526</v>
      </c>
      <c r="CT124" s="254">
        <f t="shared" si="904"/>
        <v>0.0933153089544603</v>
      </c>
      <c r="CU124" s="255"/>
      <c r="CV124" s="255"/>
      <c r="CW124" s="255"/>
      <c r="CX124" s="255"/>
      <c r="CY124" s="254"/>
      <c r="CZ124" s="255"/>
      <c r="DA124" s="255"/>
      <c r="DB124" s="255"/>
      <c r="DC124" s="255"/>
      <c r="DD124" s="254"/>
      <c r="DE124" s="255"/>
      <c r="DF124" s="255"/>
      <c r="DG124" s="255"/>
      <c r="DH124" s="255"/>
      <c r="DI124" s="254"/>
      <c r="DJ124" s="255"/>
      <c r="DK124" s="255"/>
      <c r="DL124" s="255"/>
      <c r="DM124" s="255"/>
      <c r="DN124" s="254"/>
      <c r="DO124" s="255"/>
      <c r="DP124" s="255"/>
      <c r="DQ124" s="255"/>
      <c r="DR124" s="255"/>
      <c r="DS124" s="254"/>
    </row>
    <row r="125" hidden="1" outlineLevel="1" spans="2:123">
      <c r="B125" s="245" t="s">
        <v>356</v>
      </c>
      <c r="C125" s="248">
        <f t="shared" ref="C125:BN125" si="905">C13+C123</f>
        <v>24.054</v>
      </c>
      <c r="D125" s="249">
        <f t="shared" si="905"/>
        <v>8.72178369377124</v>
      </c>
      <c r="E125" s="249">
        <f t="shared" si="905"/>
        <v>10.5855432441652</v>
      </c>
      <c r="F125" s="249">
        <f t="shared" si="905"/>
        <v>11.8532314202236</v>
      </c>
      <c r="G125" s="249">
        <f t="shared" si="905"/>
        <v>17.65785164184</v>
      </c>
      <c r="H125" s="248">
        <f t="shared" si="905"/>
        <v>48.81841</v>
      </c>
      <c r="I125" s="249">
        <f t="shared" si="905"/>
        <v>17.3387634139228</v>
      </c>
      <c r="J125" s="249">
        <f t="shared" si="905"/>
        <v>19.060264272598</v>
      </c>
      <c r="K125" s="249">
        <f t="shared" si="905"/>
        <v>22.3386644875178</v>
      </c>
      <c r="L125" s="249">
        <f t="shared" si="905"/>
        <v>31.0625418259614</v>
      </c>
      <c r="M125" s="248">
        <f t="shared" si="905"/>
        <v>89.800234</v>
      </c>
      <c r="N125" s="249">
        <f t="shared" si="905"/>
        <v>28.0199089124225</v>
      </c>
      <c r="O125" s="249">
        <f t="shared" si="905"/>
        <v>37.5680218299148</v>
      </c>
      <c r="P125" s="249">
        <f t="shared" si="905"/>
        <v>43.0524311700852</v>
      </c>
      <c r="Q125" s="249">
        <f t="shared" si="905"/>
        <v>64.9592590875774</v>
      </c>
      <c r="R125" s="248">
        <f t="shared" si="905"/>
        <v>173.599621</v>
      </c>
      <c r="S125" s="249">
        <f t="shared" si="905"/>
        <v>51.6724594232021</v>
      </c>
      <c r="T125" s="249">
        <f t="shared" si="905"/>
        <v>55.7481188614149</v>
      </c>
      <c r="U125" s="249">
        <f t="shared" si="905"/>
        <v>54.6156635118688</v>
      </c>
      <c r="V125" s="249">
        <f t="shared" si="905"/>
        <v>65.9404802035142</v>
      </c>
      <c r="W125" s="248">
        <f t="shared" si="905"/>
        <v>227.976722</v>
      </c>
      <c r="X125" s="249">
        <f t="shared" si="905"/>
        <v>49.3397556170066</v>
      </c>
      <c r="Y125" s="249">
        <f t="shared" si="905"/>
        <v>60.6024228597765</v>
      </c>
      <c r="Z125" s="249">
        <f t="shared" si="905"/>
        <v>72.3414245880862</v>
      </c>
      <c r="AA125" s="249">
        <f t="shared" si="905"/>
        <v>103.198396935131</v>
      </c>
      <c r="AB125" s="248">
        <f t="shared" si="905"/>
        <v>285.482</v>
      </c>
      <c r="AC125" s="249">
        <f t="shared" si="905"/>
        <v>92.0349244942197</v>
      </c>
      <c r="AD125" s="249">
        <f t="shared" si="905"/>
        <v>99.8418081647399</v>
      </c>
      <c r="AE125" s="249">
        <f t="shared" si="905"/>
        <v>116.947557080925</v>
      </c>
      <c r="AF125" s="249">
        <f t="shared" si="905"/>
        <v>163.807710260116</v>
      </c>
      <c r="AG125" s="248">
        <f t="shared" si="905"/>
        <v>472.632</v>
      </c>
      <c r="AH125" s="249">
        <f t="shared" si="905"/>
        <v>130.717859320047</v>
      </c>
      <c r="AI125" s="249">
        <f t="shared" si="905"/>
        <v>145.363035756155</v>
      </c>
      <c r="AJ125" s="249">
        <f t="shared" si="905"/>
        <v>153.26838862837</v>
      </c>
      <c r="AK125" s="249">
        <f t="shared" si="905"/>
        <v>237.351716295428</v>
      </c>
      <c r="AL125" s="248">
        <f t="shared" si="905"/>
        <v>666.701</v>
      </c>
      <c r="AM125" s="249">
        <f t="shared" si="905"/>
        <v>186.118958006461</v>
      </c>
      <c r="AN125" s="249">
        <f t="shared" si="905"/>
        <v>185.32979049377</v>
      </c>
      <c r="AO125" s="249">
        <f t="shared" si="905"/>
        <v>207.913020304569</v>
      </c>
      <c r="AP125" s="249">
        <f t="shared" si="905"/>
        <v>308.928231195201</v>
      </c>
      <c r="AQ125" s="248">
        <f t="shared" si="905"/>
        <v>888.29</v>
      </c>
      <c r="AR125" s="249">
        <f t="shared" si="905"/>
        <v>201.641129588015</v>
      </c>
      <c r="AS125" s="249">
        <f t="shared" si="905"/>
        <v>218.031952808989</v>
      </c>
      <c r="AT125" s="249">
        <f t="shared" si="905"/>
        <v>238.941643445693</v>
      </c>
      <c r="AU125" s="249">
        <f t="shared" si="905"/>
        <v>313.897274157303</v>
      </c>
      <c r="AV125" s="248">
        <f t="shared" si="905"/>
        <v>972.512</v>
      </c>
      <c r="AW125" s="249">
        <f t="shared" si="905"/>
        <v>231.615704948646</v>
      </c>
      <c r="AX125" s="249">
        <f t="shared" si="905"/>
        <v>235.106320728291</v>
      </c>
      <c r="AY125" s="249">
        <f t="shared" si="905"/>
        <v>252.150889355742</v>
      </c>
      <c r="AZ125" s="249">
        <f t="shared" si="905"/>
        <v>353.69708496732</v>
      </c>
      <c r="BA125" s="248">
        <f t="shared" si="905"/>
        <v>1072.57</v>
      </c>
      <c r="BB125" s="249">
        <f t="shared" si="905"/>
        <v>250.770016278774</v>
      </c>
      <c r="BC125" s="249">
        <f t="shared" si="905"/>
        <v>259.052646063843</v>
      </c>
      <c r="BD125" s="249">
        <f t="shared" si="905"/>
        <v>276.498925728094</v>
      </c>
      <c r="BE125" s="250">
        <f t="shared" si="905"/>
        <v>408.708411929289</v>
      </c>
      <c r="BF125" s="248">
        <f t="shared" si="905"/>
        <v>1195.03</v>
      </c>
      <c r="BG125" s="249">
        <f t="shared" si="905"/>
        <v>293.897009695754</v>
      </c>
      <c r="BH125" s="249">
        <f t="shared" si="905"/>
        <v>310.995654407667</v>
      </c>
      <c r="BI125" s="249">
        <f t="shared" si="905"/>
        <v>339.525580296445</v>
      </c>
      <c r="BJ125" s="250">
        <f t="shared" si="905"/>
        <v>490.295755600134</v>
      </c>
      <c r="BK125" s="248">
        <f t="shared" si="905"/>
        <v>1434.714</v>
      </c>
      <c r="BL125" s="249">
        <f t="shared" si="905"/>
        <v>326.981269430052</v>
      </c>
      <c r="BM125" s="249">
        <f t="shared" si="905"/>
        <v>370.408435233161</v>
      </c>
      <c r="BN125" s="249">
        <f t="shared" si="905"/>
        <v>393.844393782384</v>
      </c>
      <c r="BO125" s="251">
        <f t="shared" ref="BO125:CT125" si="906">BO13+BO123</f>
        <v>591.782901554404</v>
      </c>
      <c r="BP125" s="248">
        <f t="shared" si="906"/>
        <v>1683.017</v>
      </c>
      <c r="BQ125" s="249">
        <f t="shared" si="906"/>
        <v>418.080446309365</v>
      </c>
      <c r="BR125" s="249">
        <f t="shared" si="906"/>
        <v>473.566383749762</v>
      </c>
      <c r="BS125" s="249">
        <f t="shared" si="906"/>
        <v>488.633322334541</v>
      </c>
      <c r="BT125" s="251">
        <f t="shared" si="906"/>
        <v>756.490847606332</v>
      </c>
      <c r="BU125" s="248">
        <f t="shared" si="906"/>
        <v>2136.771</v>
      </c>
      <c r="BV125" s="249">
        <f t="shared" si="906"/>
        <v>514.882</v>
      </c>
      <c r="BW125" s="249">
        <f t="shared" si="906"/>
        <v>586.735</v>
      </c>
      <c r="BX125" s="249">
        <f t="shared" si="906"/>
        <v>614.177</v>
      </c>
      <c r="BY125" s="251">
        <f t="shared" si="906"/>
        <v>926.178</v>
      </c>
      <c r="BZ125" s="248">
        <f t="shared" si="906"/>
        <v>2641.972</v>
      </c>
      <c r="CA125" s="249">
        <f t="shared" si="906"/>
        <v>442.637819444444</v>
      </c>
      <c r="CB125" s="249">
        <f t="shared" si="906"/>
        <v>595.836184027778</v>
      </c>
      <c r="CC125" s="249">
        <f t="shared" si="906"/>
        <v>743.797815972222</v>
      </c>
      <c r="CD125" s="249">
        <f t="shared" si="906"/>
        <v>1133.40618055556</v>
      </c>
      <c r="CE125" s="248">
        <f t="shared" si="906"/>
        <v>2915.678</v>
      </c>
      <c r="CF125" s="249">
        <f t="shared" si="906"/>
        <v>827.97038673777</v>
      </c>
      <c r="CG125" s="249">
        <f t="shared" si="906"/>
        <v>974.445196151171</v>
      </c>
      <c r="CH125" s="249">
        <f t="shared" si="906"/>
        <v>967.62054022722</v>
      </c>
      <c r="CI125" s="251">
        <f t="shared" si="906"/>
        <v>1381.50187688384</v>
      </c>
      <c r="CJ125" s="248">
        <f t="shared" si="906"/>
        <v>4151.538</v>
      </c>
      <c r="CK125" s="249">
        <f t="shared" si="906"/>
        <v>1024.80272563625</v>
      </c>
      <c r="CL125" s="249">
        <f t="shared" si="906"/>
        <v>1215.4148547486</v>
      </c>
      <c r="CM125" s="249">
        <f t="shared" si="906"/>
        <v>1213.44007324643</v>
      </c>
      <c r="CN125" s="251">
        <f t="shared" si="906"/>
        <v>1770.39934636872</v>
      </c>
      <c r="CO125" s="248">
        <f t="shared" si="906"/>
        <v>5224.057</v>
      </c>
      <c r="CP125" s="249">
        <f t="shared" si="906"/>
        <v>1344.78501331853</v>
      </c>
      <c r="CQ125" s="249">
        <f t="shared" si="906"/>
        <v>1503.80215168331</v>
      </c>
      <c r="CR125" s="249">
        <f t="shared" si="906"/>
        <v>1491.62622937477</v>
      </c>
      <c r="CS125" s="251">
        <f t="shared" si="906"/>
        <v>2123.25260562338</v>
      </c>
      <c r="CT125" s="248">
        <f t="shared" si="906"/>
        <v>6463.466</v>
      </c>
      <c r="CU125" s="249"/>
      <c r="CV125" s="249"/>
      <c r="CW125" s="249"/>
      <c r="CX125" s="251"/>
      <c r="CY125" s="248"/>
      <c r="CZ125" s="249"/>
      <c r="DA125" s="249"/>
      <c r="DB125" s="249"/>
      <c r="DC125" s="251"/>
      <c r="DD125" s="248"/>
      <c r="DE125" s="249"/>
      <c r="DF125" s="249"/>
      <c r="DG125" s="249"/>
      <c r="DH125" s="251"/>
      <c r="DI125" s="248"/>
      <c r="DJ125" s="249"/>
      <c r="DK125" s="249"/>
      <c r="DL125" s="249"/>
      <c r="DM125" s="251"/>
      <c r="DN125" s="248"/>
      <c r="DO125" s="249"/>
      <c r="DP125" s="249"/>
      <c r="DQ125" s="249"/>
      <c r="DR125" s="251"/>
      <c r="DS125" s="248"/>
    </row>
    <row r="126" hidden="1" outlineLevel="1" spans="2:123">
      <c r="B126" s="149" t="s">
        <v>357</v>
      </c>
      <c r="C126" s="254">
        <f>C125/C$13</f>
        <v>0.590296694397409</v>
      </c>
      <c r="D126" s="255">
        <f t="shared" ref="D126:BO126" si="907">D125/D$13</f>
        <v>0.558015591412107</v>
      </c>
      <c r="E126" s="255">
        <f t="shared" si="907"/>
        <v>0.618097818764756</v>
      </c>
      <c r="F126" s="255">
        <f t="shared" si="907"/>
        <v>0.593136079875078</v>
      </c>
      <c r="G126" s="255">
        <f t="shared" si="907"/>
        <v>0.562547367706356</v>
      </c>
      <c r="H126" s="254">
        <f t="shared" si="907"/>
        <v>0.580279761247396</v>
      </c>
      <c r="I126" s="255">
        <f t="shared" si="907"/>
        <v>0.615198815424454</v>
      </c>
      <c r="J126" s="255">
        <f t="shared" si="907"/>
        <v>0.586155184143141</v>
      </c>
      <c r="K126" s="255">
        <f t="shared" si="907"/>
        <v>0.621077168656242</v>
      </c>
      <c r="L126" s="255">
        <f t="shared" si="907"/>
        <v>0.594887994322509</v>
      </c>
      <c r="M126" s="254">
        <f t="shared" si="907"/>
        <v>0.603152326448509</v>
      </c>
      <c r="N126" s="255">
        <f t="shared" si="907"/>
        <v>0.625591632825872</v>
      </c>
      <c r="O126" s="255">
        <f t="shared" si="907"/>
        <v>0.640208205067642</v>
      </c>
      <c r="P126" s="255">
        <f t="shared" si="907"/>
        <v>0.650827648349866</v>
      </c>
      <c r="Q126" s="255">
        <f t="shared" si="907"/>
        <v>0.61811420992625</v>
      </c>
      <c r="R126" s="254">
        <f t="shared" si="907"/>
        <v>0.631930100602909</v>
      </c>
      <c r="S126" s="255">
        <f t="shared" si="907"/>
        <v>0.661047921316271</v>
      </c>
      <c r="T126" s="255">
        <f t="shared" si="907"/>
        <v>0.652145119941195</v>
      </c>
      <c r="U126" s="255">
        <f t="shared" si="907"/>
        <v>0.62742631922198</v>
      </c>
      <c r="V126" s="255">
        <f t="shared" si="907"/>
        <v>0.634525073887994</v>
      </c>
      <c r="W126" s="254">
        <f t="shared" si="907"/>
        <v>0.642876366662067</v>
      </c>
      <c r="X126" s="255">
        <f t="shared" si="907"/>
        <v>0.604061650551011</v>
      </c>
      <c r="Y126" s="255">
        <f t="shared" si="907"/>
        <v>0.620157620775232</v>
      </c>
      <c r="Z126" s="255">
        <f t="shared" si="907"/>
        <v>0.640807722387845</v>
      </c>
      <c r="AA126" s="255">
        <f t="shared" si="907"/>
        <v>0.642556298862625</v>
      </c>
      <c r="AB126" s="254">
        <f t="shared" si="907"/>
        <v>0.630345022499547</v>
      </c>
      <c r="AC126" s="255">
        <f t="shared" si="907"/>
        <v>0.665487497879344</v>
      </c>
      <c r="AD126" s="255">
        <f t="shared" si="907"/>
        <v>0.655956376568511</v>
      </c>
      <c r="AE126" s="255">
        <f t="shared" si="907"/>
        <v>0.665230700119027</v>
      </c>
      <c r="AF126" s="255">
        <f t="shared" si="907"/>
        <v>0.667515801857855</v>
      </c>
      <c r="AG126" s="254">
        <f t="shared" si="907"/>
        <v>0.66408506907366</v>
      </c>
      <c r="AH126" s="255">
        <f t="shared" si="907"/>
        <v>0.699849337830854</v>
      </c>
      <c r="AI126" s="255">
        <f t="shared" si="907"/>
        <v>0.684631602587354</v>
      </c>
      <c r="AJ126" s="255">
        <f t="shared" si="907"/>
        <v>0.665759063785186</v>
      </c>
      <c r="AK126" s="255">
        <f t="shared" si="907"/>
        <v>0.63886659209579</v>
      </c>
      <c r="AL126" s="254">
        <f t="shared" si="907"/>
        <v>0.666142106772418</v>
      </c>
      <c r="AM126" s="255">
        <f t="shared" si="907"/>
        <v>0.651453485871306</v>
      </c>
      <c r="AN126" s="255">
        <f t="shared" si="907"/>
        <v>0.655723623108933</v>
      </c>
      <c r="AO126" s="255">
        <f t="shared" si="907"/>
        <v>0.65683638975718</v>
      </c>
      <c r="AP126" s="255">
        <f t="shared" si="907"/>
        <v>0.636276672046137</v>
      </c>
      <c r="AQ126" s="254">
        <f t="shared" si="907"/>
        <v>0.648200444543686</v>
      </c>
      <c r="AR126" s="255">
        <f t="shared" si="907"/>
        <v>0.583145246392279</v>
      </c>
      <c r="AS126" s="255">
        <f t="shared" si="907"/>
        <v>0.63287003047487</v>
      </c>
      <c r="AT126" s="255">
        <f t="shared" si="907"/>
        <v>0.628959314150284</v>
      </c>
      <c r="AU126" s="255">
        <f t="shared" si="907"/>
        <v>0.602498064575346</v>
      </c>
      <c r="AV126" s="254">
        <f t="shared" si="907"/>
        <v>0.611186107486985</v>
      </c>
      <c r="AW126" s="255">
        <f t="shared" si="907"/>
        <v>0.602196737928662</v>
      </c>
      <c r="AX126" s="255">
        <f t="shared" si="907"/>
        <v>0.601715061227638</v>
      </c>
      <c r="AY126" s="255">
        <f t="shared" si="907"/>
        <v>0.601223877566172</v>
      </c>
      <c r="AZ126" s="255">
        <f t="shared" si="907"/>
        <v>0.587079310250519</v>
      </c>
      <c r="BA126" s="254">
        <f t="shared" si="907"/>
        <v>0.596797257972079</v>
      </c>
      <c r="BB126" s="255">
        <f t="shared" si="907"/>
        <v>0.592075478058417</v>
      </c>
      <c r="BC126" s="255">
        <f t="shared" si="907"/>
        <v>0.571847522270686</v>
      </c>
      <c r="BD126" s="255">
        <f t="shared" si="907"/>
        <v>0.576408089607506</v>
      </c>
      <c r="BE126" s="255">
        <f t="shared" si="907"/>
        <v>0.580324208022549</v>
      </c>
      <c r="BF126" s="254">
        <f t="shared" si="907"/>
        <v>0.579964407094704</v>
      </c>
      <c r="BG126" s="255">
        <f t="shared" si="907"/>
        <v>0.593113057289278</v>
      </c>
      <c r="BH126" s="255">
        <f t="shared" si="907"/>
        <v>0.604438417180416</v>
      </c>
      <c r="BI126" s="255">
        <f t="shared" si="907"/>
        <v>0.623650995372004</v>
      </c>
      <c r="BJ126" s="255">
        <f t="shared" si="907"/>
        <v>0.620674678583353</v>
      </c>
      <c r="BK126" s="254">
        <f t="shared" si="907"/>
        <v>0.611977007258172</v>
      </c>
      <c r="BL126" s="255">
        <f t="shared" si="907"/>
        <v>0.628439112735465</v>
      </c>
      <c r="BM126" s="255">
        <f t="shared" si="907"/>
        <v>0.637476783970441</v>
      </c>
      <c r="BN126" s="255">
        <f t="shared" si="907"/>
        <v>0.636224171503316</v>
      </c>
      <c r="BO126" s="255">
        <f t="shared" si="907"/>
        <v>0.63716154692651</v>
      </c>
      <c r="BP126" s="254">
        <f t="shared" ref="BP126:BU126" si="908">BP125/BP$13</f>
        <v>0.635298536336784</v>
      </c>
      <c r="BQ126" s="255">
        <f t="shared" si="908"/>
        <v>0.643537306143775</v>
      </c>
      <c r="BR126" s="255">
        <f t="shared" si="908"/>
        <v>0.654549251900154</v>
      </c>
      <c r="BS126" s="255">
        <f t="shared" si="908"/>
        <v>0.653554543652542</v>
      </c>
      <c r="BT126" s="255">
        <f t="shared" si="908"/>
        <v>0.647955679472047</v>
      </c>
      <c r="BU126" s="254">
        <f t="shared" si="908"/>
        <v>0.649806481670422</v>
      </c>
      <c r="BV126" s="255">
        <f t="shared" ref="BV126:CO126" si="909">BV125/BV$13</f>
        <v>0.65815176751053</v>
      </c>
      <c r="BW126" s="255">
        <f t="shared" si="909"/>
        <v>0.664214265660801</v>
      </c>
      <c r="BX126" s="255">
        <f t="shared" si="909"/>
        <v>0.670425717716406</v>
      </c>
      <c r="BY126" s="255">
        <f t="shared" si="909"/>
        <v>0.662739177101968</v>
      </c>
      <c r="BZ126" s="254">
        <f t="shared" si="909"/>
        <v>0.663934337655654</v>
      </c>
      <c r="CA126" s="255">
        <f t="shared" si="909"/>
        <v>0.678931930763518</v>
      </c>
      <c r="CB126" s="255">
        <f t="shared" si="909"/>
        <v>0.659885312327608</v>
      </c>
      <c r="CC126" s="255">
        <f t="shared" si="909"/>
        <v>0.665634964617095</v>
      </c>
      <c r="CD126" s="255">
        <f t="shared" si="909"/>
        <v>0.655317782035785</v>
      </c>
      <c r="CE126" s="254">
        <f t="shared" si="909"/>
        <v>0.662371228286829</v>
      </c>
      <c r="CF126" s="255">
        <f t="shared" si="909"/>
        <v>0.675080789789421</v>
      </c>
      <c r="CG126" s="255">
        <f t="shared" si="909"/>
        <v>0.671744867464192</v>
      </c>
      <c r="CH126" s="255">
        <f t="shared" si="909"/>
        <v>0.667130812520792</v>
      </c>
      <c r="CI126" s="255">
        <f t="shared" si="909"/>
        <v>0.648865989926194</v>
      </c>
      <c r="CJ126" s="254">
        <f t="shared" si="909"/>
        <v>0.663543573148236</v>
      </c>
      <c r="CK126" s="255">
        <f t="shared" si="909"/>
        <v>0.63515725221852</v>
      </c>
      <c r="CL126" s="255">
        <f t="shared" si="909"/>
        <v>0.650536123608169</v>
      </c>
      <c r="CM126" s="255">
        <f t="shared" si="909"/>
        <v>0.653480134378754</v>
      </c>
      <c r="CN126" s="255">
        <f t="shared" si="909"/>
        <v>0.638709530055045</v>
      </c>
      <c r="CO126" s="254">
        <f t="shared" si="909"/>
        <v>0.644108921279751</v>
      </c>
      <c r="CP126" s="255">
        <f t="shared" ref="CP126:CT126" si="910">CP125/CP$13</f>
        <v>0.672126344626795</v>
      </c>
      <c r="CQ126" s="255">
        <f t="shared" si="910"/>
        <v>0.680710653882039</v>
      </c>
      <c r="CR126" s="255">
        <f t="shared" si="910"/>
        <v>0.676714476233643</v>
      </c>
      <c r="CS126" s="255">
        <f t="shared" si="910"/>
        <v>0.662460022540112</v>
      </c>
      <c r="CT126" s="254">
        <f t="shared" si="910"/>
        <v>0.671928392130886</v>
      </c>
      <c r="CU126" s="255"/>
      <c r="CV126" s="255"/>
      <c r="CW126" s="255"/>
      <c r="CX126" s="255"/>
      <c r="CY126" s="254"/>
      <c r="CZ126" s="255"/>
      <c r="DA126" s="255"/>
      <c r="DB126" s="255"/>
      <c r="DC126" s="255"/>
      <c r="DD126" s="254"/>
      <c r="DE126" s="255"/>
      <c r="DF126" s="255"/>
      <c r="DG126" s="255"/>
      <c r="DH126" s="255"/>
      <c r="DI126" s="254"/>
      <c r="DJ126" s="255"/>
      <c r="DK126" s="255"/>
      <c r="DL126" s="255"/>
      <c r="DM126" s="255"/>
      <c r="DN126" s="254"/>
      <c r="DO126" s="255"/>
      <c r="DP126" s="255"/>
      <c r="DQ126" s="255"/>
      <c r="DR126" s="255"/>
      <c r="DS126" s="254"/>
    </row>
    <row r="127" hidden="1" outlineLevel="1" spans="2:123">
      <c r="B127" s="256" t="s">
        <v>73</v>
      </c>
      <c r="C127" s="257"/>
      <c r="D127" s="258"/>
      <c r="E127" s="258"/>
      <c r="F127" s="258"/>
      <c r="G127" s="258"/>
      <c r="H127" s="259">
        <f t="shared" ref="H127:AM127" si="911">(H126-C126)*100*100</f>
        <v>-100.169331500121</v>
      </c>
      <c r="I127" s="260">
        <f t="shared" si="911"/>
        <v>571.83224012347</v>
      </c>
      <c r="J127" s="260">
        <f t="shared" si="911"/>
        <v>-319.426346216141</v>
      </c>
      <c r="K127" s="260">
        <f t="shared" si="911"/>
        <v>279.410887811643</v>
      </c>
      <c r="L127" s="260">
        <f t="shared" si="911"/>
        <v>323.406266161533</v>
      </c>
      <c r="M127" s="259">
        <f t="shared" si="911"/>
        <v>228.725652011121</v>
      </c>
      <c r="N127" s="260">
        <f t="shared" si="911"/>
        <v>103.928174014175</v>
      </c>
      <c r="O127" s="260">
        <f t="shared" si="911"/>
        <v>540.530209245009</v>
      </c>
      <c r="P127" s="260">
        <f t="shared" si="911"/>
        <v>297.504796936235</v>
      </c>
      <c r="Q127" s="260">
        <f t="shared" si="911"/>
        <v>232.262156037403</v>
      </c>
      <c r="R127" s="259">
        <f t="shared" si="911"/>
        <v>287.777741544004</v>
      </c>
      <c r="S127" s="260">
        <f t="shared" si="911"/>
        <v>354.562884903988</v>
      </c>
      <c r="T127" s="260">
        <f t="shared" si="911"/>
        <v>119.369148735526</v>
      </c>
      <c r="U127" s="260">
        <f t="shared" si="911"/>
        <v>-234.013291278855</v>
      </c>
      <c r="V127" s="260">
        <f t="shared" si="911"/>
        <v>164.108639617445</v>
      </c>
      <c r="W127" s="259">
        <f t="shared" si="911"/>
        <v>109.462660591582</v>
      </c>
      <c r="X127" s="260">
        <f t="shared" si="911"/>
        <v>-569.862707652599</v>
      </c>
      <c r="Y127" s="260">
        <f t="shared" si="911"/>
        <v>-319.874991659628</v>
      </c>
      <c r="Z127" s="260">
        <f t="shared" si="911"/>
        <v>133.814031658646</v>
      </c>
      <c r="AA127" s="260">
        <f t="shared" si="911"/>
        <v>80.3122497463093</v>
      </c>
      <c r="AB127" s="259">
        <f t="shared" si="911"/>
        <v>-125.313441625198</v>
      </c>
      <c r="AC127" s="260">
        <f t="shared" si="911"/>
        <v>614.258473283332</v>
      </c>
      <c r="AD127" s="260">
        <f t="shared" si="911"/>
        <v>357.987557932785</v>
      </c>
      <c r="AE127" s="260">
        <f t="shared" si="911"/>
        <v>244.229777311816</v>
      </c>
      <c r="AF127" s="260">
        <f t="shared" si="911"/>
        <v>249.595029952294</v>
      </c>
      <c r="AG127" s="259">
        <f t="shared" si="911"/>
        <v>337.400465741127</v>
      </c>
      <c r="AH127" s="260">
        <f t="shared" si="911"/>
        <v>343.618399515098</v>
      </c>
      <c r="AI127" s="260">
        <f t="shared" si="911"/>
        <v>286.752260188431</v>
      </c>
      <c r="AJ127" s="260">
        <f t="shared" si="911"/>
        <v>5.28363666159826</v>
      </c>
      <c r="AK127" s="260">
        <f t="shared" si="911"/>
        <v>-286.492097620645</v>
      </c>
      <c r="AL127" s="259">
        <f t="shared" si="911"/>
        <v>20.5703769875787</v>
      </c>
      <c r="AM127" s="260">
        <f t="shared" si="911"/>
        <v>-483.958519595474</v>
      </c>
      <c r="AN127" s="260">
        <f t="shared" ref="AN127:BS127" si="912">(AN126-AI126)*100*100</f>
        <v>-289.079794784208</v>
      </c>
      <c r="AO127" s="260">
        <f t="shared" si="912"/>
        <v>-89.2267402800606</v>
      </c>
      <c r="AP127" s="260">
        <f t="shared" si="912"/>
        <v>-25.8992004965275</v>
      </c>
      <c r="AQ127" s="259">
        <f t="shared" si="912"/>
        <v>-179.416622287318</v>
      </c>
      <c r="AR127" s="260">
        <f t="shared" si="912"/>
        <v>-683.082394790275</v>
      </c>
      <c r="AS127" s="260">
        <f t="shared" si="912"/>
        <v>-228.535926340634</v>
      </c>
      <c r="AT127" s="260">
        <f t="shared" si="912"/>
        <v>-278.770756068963</v>
      </c>
      <c r="AU127" s="260">
        <f t="shared" si="912"/>
        <v>-337.78607470791</v>
      </c>
      <c r="AV127" s="259">
        <f t="shared" si="912"/>
        <v>-370.143370567014</v>
      </c>
      <c r="AW127" s="260">
        <f t="shared" si="912"/>
        <v>190.514915363831</v>
      </c>
      <c r="AX127" s="260">
        <f t="shared" si="912"/>
        <v>-311.549692472317</v>
      </c>
      <c r="AY127" s="260">
        <f t="shared" si="912"/>
        <v>-277.354365841119</v>
      </c>
      <c r="AZ127" s="260">
        <f t="shared" si="912"/>
        <v>-154.187543248269</v>
      </c>
      <c r="BA127" s="259">
        <f t="shared" si="912"/>
        <v>-143.888495149056</v>
      </c>
      <c r="BB127" s="260">
        <f t="shared" si="912"/>
        <v>-101.212598702454</v>
      </c>
      <c r="BC127" s="260">
        <f t="shared" si="912"/>
        <v>-298.675389569524</v>
      </c>
      <c r="BD127" s="260">
        <f t="shared" si="912"/>
        <v>-248.157879586656</v>
      </c>
      <c r="BE127" s="260">
        <f t="shared" si="912"/>
        <v>-67.5510222796993</v>
      </c>
      <c r="BF127" s="259">
        <f t="shared" si="912"/>
        <v>-168.328508773754</v>
      </c>
      <c r="BG127" s="260">
        <f t="shared" si="912"/>
        <v>10.3757923086145</v>
      </c>
      <c r="BH127" s="260">
        <f t="shared" si="912"/>
        <v>325.9089490973</v>
      </c>
      <c r="BI127" s="260">
        <f t="shared" si="912"/>
        <v>472.429057644974</v>
      </c>
      <c r="BJ127" s="260">
        <f t="shared" si="912"/>
        <v>403.504705608032</v>
      </c>
      <c r="BK127" s="259">
        <f t="shared" si="912"/>
        <v>320.126001634683</v>
      </c>
      <c r="BL127" s="260">
        <f t="shared" si="912"/>
        <v>353.260554461874</v>
      </c>
      <c r="BM127" s="260">
        <f t="shared" si="912"/>
        <v>330.383667900255</v>
      </c>
      <c r="BN127" s="260">
        <f t="shared" si="912"/>
        <v>125.731761313117</v>
      </c>
      <c r="BO127" s="260">
        <f t="shared" si="912"/>
        <v>164.868683431575</v>
      </c>
      <c r="BP127" s="259">
        <f t="shared" si="912"/>
        <v>233.215290786121</v>
      </c>
      <c r="BQ127" s="260">
        <f t="shared" si="912"/>
        <v>150.981934083095</v>
      </c>
      <c r="BR127" s="260">
        <f t="shared" si="912"/>
        <v>170.724679297132</v>
      </c>
      <c r="BS127" s="260">
        <f t="shared" si="912"/>
        <v>173.303721492264</v>
      </c>
      <c r="BT127" s="260">
        <f t="shared" ref="BT127:CT127" si="913">(BT126-BO126)*100*100</f>
        <v>107.941325455364</v>
      </c>
      <c r="BU127" s="259">
        <f t="shared" si="913"/>
        <v>145.079453336377</v>
      </c>
      <c r="BV127" s="260">
        <f t="shared" si="913"/>
        <v>146.144613667547</v>
      </c>
      <c r="BW127" s="260">
        <f t="shared" si="913"/>
        <v>96.6501376064699</v>
      </c>
      <c r="BX127" s="260">
        <f t="shared" si="913"/>
        <v>168.711740638645</v>
      </c>
      <c r="BY127" s="260">
        <f t="shared" si="913"/>
        <v>147.834976299213</v>
      </c>
      <c r="BZ127" s="259">
        <f t="shared" si="913"/>
        <v>141.278559852319</v>
      </c>
      <c r="CA127" s="260">
        <f t="shared" si="913"/>
        <v>207.801632529878</v>
      </c>
      <c r="CB127" s="260">
        <f t="shared" si="913"/>
        <v>-43.289533331935</v>
      </c>
      <c r="CC127" s="260">
        <f t="shared" si="913"/>
        <v>-47.9075309931121</v>
      </c>
      <c r="CD127" s="260">
        <f t="shared" si="913"/>
        <v>-74.2139506618311</v>
      </c>
      <c r="CE127" s="259">
        <f t="shared" si="913"/>
        <v>-15.6310936882431</v>
      </c>
      <c r="CF127" s="260">
        <f t="shared" si="913"/>
        <v>-38.5114097409678</v>
      </c>
      <c r="CG127" s="260">
        <f t="shared" si="913"/>
        <v>118.59555136584</v>
      </c>
      <c r="CH127" s="260">
        <f t="shared" si="913"/>
        <v>14.9584790369695</v>
      </c>
      <c r="CI127" s="260">
        <f t="shared" si="913"/>
        <v>-64.5179210959057</v>
      </c>
      <c r="CJ127" s="259">
        <f t="shared" si="913"/>
        <v>11.7234486140705</v>
      </c>
      <c r="CK127" s="260">
        <f t="shared" si="913"/>
        <v>-399.235375709003</v>
      </c>
      <c r="CL127" s="260">
        <f t="shared" si="913"/>
        <v>-212.087438560226</v>
      </c>
      <c r="CM127" s="260">
        <f t="shared" si="913"/>
        <v>-136.506781420378</v>
      </c>
      <c r="CN127" s="260">
        <f t="shared" si="913"/>
        <v>-101.564598711494</v>
      </c>
      <c r="CO127" s="259">
        <f t="shared" si="913"/>
        <v>-194.346518684859</v>
      </c>
      <c r="CP127" s="260">
        <f t="shared" si="913"/>
        <v>369.690924082747</v>
      </c>
      <c r="CQ127" s="260">
        <f t="shared" si="913"/>
        <v>301.7453027387</v>
      </c>
      <c r="CR127" s="260">
        <f t="shared" si="913"/>
        <v>232.343418548889</v>
      </c>
      <c r="CS127" s="260">
        <f t="shared" si="913"/>
        <v>237.504924850676</v>
      </c>
      <c r="CT127" s="259">
        <f t="shared" si="913"/>
        <v>278.19470851135</v>
      </c>
      <c r="CU127" s="260"/>
      <c r="CV127" s="260"/>
      <c r="CW127" s="260"/>
      <c r="CX127" s="260"/>
      <c r="CY127" s="259"/>
      <c r="CZ127" s="260"/>
      <c r="DA127" s="260"/>
      <c r="DB127" s="260"/>
      <c r="DC127" s="260"/>
      <c r="DD127" s="259"/>
      <c r="DE127" s="260"/>
      <c r="DF127" s="260"/>
      <c r="DG127" s="260"/>
      <c r="DH127" s="260"/>
      <c r="DI127" s="259"/>
      <c r="DJ127" s="260"/>
      <c r="DK127" s="260"/>
      <c r="DL127" s="260"/>
      <c r="DM127" s="260"/>
      <c r="DN127" s="259"/>
      <c r="DO127" s="260"/>
      <c r="DP127" s="260"/>
      <c r="DQ127" s="260"/>
      <c r="DR127" s="260"/>
      <c r="DS127" s="259"/>
    </row>
    <row r="128" hidden="1" outlineLevel="1" spans="2:123">
      <c r="B128" s="245"/>
      <c r="C128" s="246"/>
      <c r="D128" s="247"/>
      <c r="E128" s="247"/>
      <c r="F128" s="247"/>
      <c r="G128" s="247"/>
      <c r="H128" s="246"/>
      <c r="I128" s="247"/>
      <c r="J128" s="247"/>
      <c r="K128" s="247"/>
      <c r="L128" s="247"/>
      <c r="M128" s="246"/>
      <c r="N128" s="247"/>
      <c r="O128" s="247"/>
      <c r="P128" s="247"/>
      <c r="Q128" s="247"/>
      <c r="R128" s="246"/>
      <c r="S128" s="247"/>
      <c r="T128" s="247"/>
      <c r="U128" s="247"/>
      <c r="V128" s="247"/>
      <c r="W128" s="246"/>
      <c r="X128" s="247"/>
      <c r="Y128" s="247"/>
      <c r="Z128" s="247"/>
      <c r="AA128" s="247"/>
      <c r="AB128" s="246"/>
      <c r="AC128" s="247"/>
      <c r="AD128" s="247"/>
      <c r="AE128" s="247"/>
      <c r="AF128" s="247"/>
      <c r="AG128" s="246"/>
      <c r="AH128" s="247"/>
      <c r="AI128" s="247"/>
      <c r="AJ128" s="247"/>
      <c r="AK128" s="247"/>
      <c r="AL128" s="246"/>
      <c r="AM128" s="247"/>
      <c r="AN128" s="247"/>
      <c r="AO128" s="247"/>
      <c r="AP128" s="247"/>
      <c r="AQ128" s="246"/>
      <c r="AR128" s="247"/>
      <c r="AS128" s="247"/>
      <c r="AT128" s="247"/>
      <c r="AU128" s="247"/>
      <c r="AV128" s="246"/>
      <c r="AW128" s="247"/>
      <c r="AX128" s="247"/>
      <c r="AY128" s="247"/>
      <c r="AZ128" s="247"/>
      <c r="BA128" s="246"/>
      <c r="BB128" s="247"/>
      <c r="BC128" s="247"/>
      <c r="BD128" s="247"/>
      <c r="BE128" s="247"/>
      <c r="BF128" s="246"/>
      <c r="BG128" s="247"/>
      <c r="BH128" s="247"/>
      <c r="BI128" s="247"/>
      <c r="BJ128" s="247"/>
      <c r="BK128" s="246"/>
      <c r="BL128" s="247"/>
      <c r="BM128" s="247"/>
      <c r="BN128" s="247"/>
      <c r="BO128" s="247"/>
      <c r="BP128" s="246"/>
      <c r="BQ128" s="247"/>
      <c r="BR128" s="247"/>
      <c r="BS128" s="247"/>
      <c r="BT128" s="247"/>
      <c r="BU128" s="246"/>
      <c r="BV128" s="261"/>
      <c r="BW128" s="247"/>
      <c r="BX128" s="247"/>
      <c r="BY128" s="247"/>
      <c r="BZ128" s="246"/>
      <c r="CA128" s="247"/>
      <c r="CB128" s="247"/>
      <c r="CC128" s="247"/>
      <c r="CD128" s="247"/>
      <c r="CE128" s="246"/>
      <c r="CF128" s="247"/>
      <c r="CG128" s="247"/>
      <c r="CH128" s="247"/>
      <c r="CI128" s="247"/>
      <c r="CJ128" s="246"/>
      <c r="CK128" s="247"/>
      <c r="CL128" s="247"/>
      <c r="CM128" s="247"/>
      <c r="CN128" s="247"/>
      <c r="CO128" s="246"/>
      <c r="CP128" s="247"/>
      <c r="CQ128" s="247"/>
      <c r="CR128" s="247"/>
      <c r="CS128" s="247"/>
      <c r="CT128" s="246"/>
      <c r="CU128" s="247"/>
      <c r="CV128" s="247"/>
      <c r="CW128" s="247"/>
      <c r="CX128" s="247"/>
      <c r="CY128" s="246"/>
      <c r="CZ128" s="247"/>
      <c r="DA128" s="247"/>
      <c r="DB128" s="247"/>
      <c r="DC128" s="247"/>
      <c r="DD128" s="246"/>
      <c r="DE128" s="247"/>
      <c r="DF128" s="247"/>
      <c r="DG128" s="247"/>
      <c r="DH128" s="247"/>
      <c r="DI128" s="246"/>
      <c r="DJ128" s="247"/>
      <c r="DK128" s="247"/>
      <c r="DL128" s="247"/>
      <c r="DM128" s="247"/>
      <c r="DN128" s="246"/>
      <c r="DO128" s="247"/>
      <c r="DP128" s="247"/>
      <c r="DQ128" s="247"/>
      <c r="DR128" s="247"/>
      <c r="DS128" s="246"/>
    </row>
    <row r="129" hidden="1" outlineLevel="1" spans="2:123">
      <c r="B129" s="245" t="s">
        <v>101</v>
      </c>
      <c r="C129" s="248">
        <f>-'2. Consolidated'!C90</f>
        <v>-1.123</v>
      </c>
      <c r="D129" s="249">
        <f>-'2. Consolidated'!D90</f>
        <v>-0.6165745</v>
      </c>
      <c r="E129" s="249">
        <f>-'2. Consolidated'!E90</f>
        <v>-0.6165745</v>
      </c>
      <c r="F129" s="249">
        <f>-'2. Consolidated'!F90</f>
        <v>-0.6165745</v>
      </c>
      <c r="G129" s="249">
        <f>-'2. Consolidated'!G90</f>
        <v>-0.6165745</v>
      </c>
      <c r="H129" s="248">
        <f>SUM(D129:G129)</f>
        <v>-2.466298</v>
      </c>
      <c r="I129" s="249">
        <f>-'2. Consolidated'!I90</f>
        <v>-0.893</v>
      </c>
      <c r="J129" s="249">
        <f>-'2. Consolidated'!J90</f>
        <v>-1</v>
      </c>
      <c r="K129" s="249">
        <f>-'2. Consolidated'!K90</f>
        <v>-1.2</v>
      </c>
      <c r="L129" s="249">
        <f>-'2. Consolidated'!L90</f>
        <v>-1.525512</v>
      </c>
      <c r="M129" s="248">
        <f>SUM(I129:L129)</f>
        <v>-4.618512</v>
      </c>
      <c r="N129" s="249">
        <f>-'2. Consolidated'!N90</f>
        <v>-1.503738</v>
      </c>
      <c r="O129" s="249">
        <f>-'2. Consolidated'!O90</f>
        <v>-1.864801</v>
      </c>
      <c r="P129" s="249">
        <f>-'2. Consolidated'!P90</f>
        <v>-2.125247</v>
      </c>
      <c r="Q129" s="249">
        <f>-'2. Consolidated'!Q90</f>
        <v>-2.797468</v>
      </c>
      <c r="R129" s="248">
        <f>SUM(N129:Q129)</f>
        <v>-8.291254</v>
      </c>
      <c r="S129" s="249">
        <f>-'2. Consolidated'!S90</f>
        <v>-3.38106</v>
      </c>
      <c r="T129" s="249">
        <f>-'2. Consolidated'!T90</f>
        <v>-3.817848</v>
      </c>
      <c r="U129" s="249">
        <f>-'2. Consolidated'!U90</f>
        <v>-3.903516</v>
      </c>
      <c r="V129" s="249">
        <f>-'2. Consolidated'!V90</f>
        <v>-4.720526</v>
      </c>
      <c r="W129" s="248">
        <f>SUM(S129:V129)</f>
        <v>-15.82295</v>
      </c>
      <c r="X129" s="249">
        <f>-'2. Consolidated'!X90</f>
        <v>-4.278</v>
      </c>
      <c r="Y129" s="249">
        <f>-'2. Consolidated'!Y90</f>
        <v>-5.274</v>
      </c>
      <c r="Z129" s="249">
        <f>-'2. Consolidated'!Z90</f>
        <v>-5.684</v>
      </c>
      <c r="AA129" s="249">
        <f>-'2. Consolidated'!AA90</f>
        <v>-5.596</v>
      </c>
      <c r="AB129" s="248">
        <f>SUM(X129:AA129)</f>
        <v>-20.832</v>
      </c>
      <c r="AC129" s="249">
        <f>-'2. Consolidated'!AC90</f>
        <v>-5.388</v>
      </c>
      <c r="AD129" s="249">
        <f>-'2. Consolidated'!AD90</f>
        <v>-6.602</v>
      </c>
      <c r="AE129" s="249">
        <f>-'2. Consolidated'!AE90</f>
        <v>-6.426</v>
      </c>
      <c r="AF129" s="249">
        <f>-'2. Consolidated'!AF90</f>
        <v>-6.198</v>
      </c>
      <c r="AG129" s="248">
        <f>SUM(AC129:AF129)</f>
        <v>-24.614</v>
      </c>
      <c r="AH129" s="249">
        <f>-'2. Consolidated'!AH90</f>
        <v>-6.041</v>
      </c>
      <c r="AI129" s="249">
        <f>-'2. Consolidated'!AI90</f>
        <v>-7.52</v>
      </c>
      <c r="AJ129" s="249">
        <f>-'2. Consolidated'!AJ90</f>
        <v>-7.327</v>
      </c>
      <c r="AK129" s="249">
        <f>-'2. Consolidated'!AK90</f>
        <v>-9.371</v>
      </c>
      <c r="AL129" s="248">
        <f>SUM(AH129:AK129)</f>
        <v>-30.259</v>
      </c>
      <c r="AM129" s="249">
        <f>-'2. Consolidated'!AM90</f>
        <v>-9.798</v>
      </c>
      <c r="AN129" s="249">
        <f>-'2. Consolidated'!AN90</f>
        <v>-9.681</v>
      </c>
      <c r="AO129" s="249">
        <f>-'2. Consolidated'!AO90</f>
        <v>-11.483</v>
      </c>
      <c r="AP129" s="249">
        <f>-'2. Consolidated'!AP90</f>
        <v>-12.038</v>
      </c>
      <c r="AQ129" s="248">
        <f>SUM(AM129:AP129)</f>
        <v>-43</v>
      </c>
      <c r="AR129" s="249">
        <f>-'2. Consolidated'!AR90</f>
        <v>-11.729</v>
      </c>
      <c r="AS129" s="249">
        <f>-'2. Consolidated'!AS90</f>
        <v>-12.078</v>
      </c>
      <c r="AT129" s="249">
        <f>-'2. Consolidated'!AT90</f>
        <v>-12.916</v>
      </c>
      <c r="AU129" s="249">
        <f>-'2. Consolidated'!AU90</f>
        <v>-12.345</v>
      </c>
      <c r="AV129" s="248">
        <f>SUM(AR129:AU129)</f>
        <v>-49.068</v>
      </c>
      <c r="AW129" s="249">
        <f>-'2. Consolidated'!AW90</f>
        <v>-12.46</v>
      </c>
      <c r="AX129" s="249">
        <f>-'2. Consolidated'!AX90</f>
        <v>-13.637</v>
      </c>
      <c r="AY129" s="249">
        <f>-'2. Consolidated'!AY90</f>
        <v>-15.612</v>
      </c>
      <c r="AZ129" s="249">
        <f>-'2. Consolidated'!AZ90</f>
        <v>-16.655</v>
      </c>
      <c r="BA129" s="248">
        <f>SUM(AW129:AZ129)</f>
        <v>-58.364</v>
      </c>
      <c r="BB129" s="249">
        <f>-'2. Consolidated'!BB90</f>
        <v>-16.096</v>
      </c>
      <c r="BC129" s="249">
        <f>-'2. Consolidated'!BC90</f>
        <v>-16.695</v>
      </c>
      <c r="BD129" s="249">
        <f>-'2. Consolidated'!BD90</f>
        <v>-19.707</v>
      </c>
      <c r="BE129" s="249">
        <f>-'2. Consolidated'!BE90</f>
        <v>-20.885</v>
      </c>
      <c r="BF129" s="248">
        <f>SUM(BB129:BE129)</f>
        <v>-73.383</v>
      </c>
      <c r="BG129" s="249">
        <f>-'2. Consolidated'!BG90</f>
        <v>-19.185</v>
      </c>
      <c r="BH129" s="249">
        <f>-'2. Consolidated'!BH90</f>
        <v>-20.498</v>
      </c>
      <c r="BI129" s="249">
        <f>-'2. Consolidated'!BI90</f>
        <v>-23.958</v>
      </c>
      <c r="BJ129" s="249">
        <f>-'2. Consolidated'!BJ90</f>
        <v>-24.056</v>
      </c>
      <c r="BK129" s="248">
        <f>SUM(BG129:BJ129)</f>
        <v>-87.697</v>
      </c>
      <c r="BL129" s="249">
        <f>-'2. Consolidated'!BL90</f>
        <v>-23.163</v>
      </c>
      <c r="BM129" s="249">
        <f>-'2. Consolidated'!BM90</f>
        <v>-28.406</v>
      </c>
      <c r="BN129" s="249">
        <f>-'2. Consolidated'!BN90</f>
        <v>-28.56</v>
      </c>
      <c r="BO129" s="251">
        <f>-'2. Consolidated'!BO90</f>
        <v>-28.106</v>
      </c>
      <c r="BP129" s="248">
        <f>SUM(BL129:BO129)</f>
        <v>-108.235</v>
      </c>
      <c r="BQ129" s="249">
        <f>-'2. Consolidated'!BQ90</f>
        <v>-26.773</v>
      </c>
      <c r="BR129" s="249">
        <f>-'2. Consolidated'!BR90</f>
        <v>-28.656</v>
      </c>
      <c r="BS129" s="249">
        <f>-'2. Consolidated'!BS90</f>
        <v>-31.686</v>
      </c>
      <c r="BT129" s="249">
        <f>-'2. Consolidated'!BT90</f>
        <v>-35.369</v>
      </c>
      <c r="BU129" s="248">
        <f>SUM(BQ129:BT129)</f>
        <v>-122.484</v>
      </c>
      <c r="BV129" s="249">
        <f>-'2. Consolidated'!BV90</f>
        <v>-32.823</v>
      </c>
      <c r="BW129" s="249">
        <f>-'2. Consolidated'!BW90</f>
        <v>-37.599</v>
      </c>
      <c r="BX129" s="249">
        <f>-'2. Consolidated'!BX90</f>
        <v>-44.022</v>
      </c>
      <c r="BY129" s="249">
        <f>-'2. Consolidated'!BY90</f>
        <v>-47.489</v>
      </c>
      <c r="BZ129" s="248">
        <f>SUM(BV129:BY129)</f>
        <v>-161.933</v>
      </c>
      <c r="CA129" s="249">
        <f>-'2. Consolidated'!CA90</f>
        <v>-43.532</v>
      </c>
      <c r="CB129" s="249">
        <f>-'2. Consolidated'!CB90</f>
        <v>-40.644</v>
      </c>
      <c r="CC129" s="249">
        <f>-'2. Consolidated'!CC90</f>
        <v>-49.033</v>
      </c>
      <c r="CD129" s="249">
        <f>-'2. Consolidated'!CD90</f>
        <v>-52.269</v>
      </c>
      <c r="CE129" s="248">
        <f>SUM(CA129:CD129)</f>
        <v>-185.478</v>
      </c>
      <c r="CF129" s="249">
        <f>-'2. Consolidated'!CF90</f>
        <v>-50.485</v>
      </c>
      <c r="CG129" s="249">
        <f>-'2. Consolidated'!CG90</f>
        <v>-53.638</v>
      </c>
      <c r="CH129" s="249">
        <f>-'2. Consolidated'!CH90</f>
        <v>-57.963</v>
      </c>
      <c r="CI129" s="249">
        <f>-'2. Consolidated'!CI90</f>
        <v>-62.12</v>
      </c>
      <c r="CJ129" s="248">
        <f>SUM(CF129:CI129)</f>
        <v>-224.206</v>
      </c>
      <c r="CK129" s="249">
        <f>-'2. Consolidated'!CK90</f>
        <v>-64.47</v>
      </c>
      <c r="CL129" s="249">
        <f>-'2. Consolidated'!CL90</f>
        <v>-67.971</v>
      </c>
      <c r="CM129" s="249">
        <f>-'2. Consolidated'!CM90</f>
        <v>-79.188</v>
      </c>
      <c r="CN129" s="249">
        <f>-'2. Consolidated'!CN90</f>
        <v>-80.162</v>
      </c>
      <c r="CO129" s="248">
        <f>SUM(CK129:CN129)</f>
        <v>-291.791</v>
      </c>
      <c r="CP129" s="249">
        <f>-'2. Consolidated'!CP90</f>
        <v>-84.116</v>
      </c>
      <c r="CQ129" s="249">
        <f>-'2. Consolidated'!CQ90</f>
        <v>-94.009</v>
      </c>
      <c r="CR129" s="249">
        <f>-'2. Consolidated'!CR90</f>
        <v>-97.969</v>
      </c>
      <c r="CS129" s="249">
        <f>-'2. Consolidated'!CS90</f>
        <v>-103.29</v>
      </c>
      <c r="CT129" s="248">
        <f>SUM(CP129:CS129)</f>
        <v>-379.384</v>
      </c>
      <c r="CU129" s="249"/>
      <c r="CV129" s="249"/>
      <c r="CW129" s="249"/>
      <c r="CX129" s="249"/>
      <c r="CY129" s="248"/>
      <c r="CZ129" s="249"/>
      <c r="DA129" s="249"/>
      <c r="DB129" s="249"/>
      <c r="DC129" s="249"/>
      <c r="DD129" s="248"/>
      <c r="DE129" s="249"/>
      <c r="DF129" s="249"/>
      <c r="DG129" s="249"/>
      <c r="DH129" s="249"/>
      <c r="DI129" s="248"/>
      <c r="DJ129" s="249"/>
      <c r="DK129" s="249"/>
      <c r="DL129" s="249"/>
      <c r="DM129" s="249"/>
      <c r="DN129" s="248"/>
      <c r="DO129" s="249"/>
      <c r="DP129" s="249"/>
      <c r="DQ129" s="249"/>
      <c r="DR129" s="249"/>
      <c r="DS129" s="248"/>
    </row>
    <row r="130" hidden="1" outlineLevel="1" spans="2:123">
      <c r="B130" s="149" t="s">
        <v>69</v>
      </c>
      <c r="C130" s="252"/>
      <c r="D130" s="253"/>
      <c r="E130" s="253"/>
      <c r="F130" s="253"/>
      <c r="G130" s="253"/>
      <c r="H130" s="254">
        <f t="shared" ref="H130:AM130" si="914">H129/C129-1</f>
        <v>1.19616918967053</v>
      </c>
      <c r="I130" s="255">
        <f t="shared" si="914"/>
        <v>0.448324573916048</v>
      </c>
      <c r="J130" s="255">
        <f t="shared" si="914"/>
        <v>0.621864024542046</v>
      </c>
      <c r="K130" s="255">
        <f t="shared" si="914"/>
        <v>0.946236829450456</v>
      </c>
      <c r="L130" s="255">
        <f t="shared" si="914"/>
        <v>1.47417303180719</v>
      </c>
      <c r="M130" s="254">
        <f t="shared" si="914"/>
        <v>0.872649614928934</v>
      </c>
      <c r="N130" s="255">
        <f t="shared" si="914"/>
        <v>0.683917133258679</v>
      </c>
      <c r="O130" s="255">
        <f t="shared" si="914"/>
        <v>0.864801</v>
      </c>
      <c r="P130" s="255">
        <f t="shared" si="914"/>
        <v>0.771039166666667</v>
      </c>
      <c r="Q130" s="255">
        <f t="shared" si="914"/>
        <v>0.833789573598897</v>
      </c>
      <c r="R130" s="254">
        <f t="shared" si="914"/>
        <v>0.795221924290767</v>
      </c>
      <c r="S130" s="255">
        <f t="shared" si="914"/>
        <v>1.24843689525702</v>
      </c>
      <c r="T130" s="255">
        <f t="shared" si="914"/>
        <v>1.04732193944555</v>
      </c>
      <c r="U130" s="255">
        <f t="shared" si="914"/>
        <v>0.83673521242472</v>
      </c>
      <c r="V130" s="255">
        <f t="shared" si="914"/>
        <v>0.687428059945637</v>
      </c>
      <c r="W130" s="254">
        <f t="shared" si="914"/>
        <v>0.908390455774241</v>
      </c>
      <c r="X130" s="255">
        <f t="shared" si="914"/>
        <v>0.265283668435343</v>
      </c>
      <c r="Y130" s="255">
        <f t="shared" si="914"/>
        <v>0.381406488681582</v>
      </c>
      <c r="Z130" s="255">
        <f t="shared" si="914"/>
        <v>0.456123146414668</v>
      </c>
      <c r="AA130" s="255">
        <f t="shared" si="914"/>
        <v>0.185461111748987</v>
      </c>
      <c r="AB130" s="254">
        <f t="shared" si="914"/>
        <v>0.316568655023242</v>
      </c>
      <c r="AC130" s="255">
        <f t="shared" si="914"/>
        <v>0.259467040673212</v>
      </c>
      <c r="AD130" s="255">
        <f t="shared" si="914"/>
        <v>0.251801289343951</v>
      </c>
      <c r="AE130" s="255">
        <f t="shared" si="914"/>
        <v>0.130541871921182</v>
      </c>
      <c r="AF130" s="255">
        <f t="shared" si="914"/>
        <v>0.107576840600429</v>
      </c>
      <c r="AG130" s="254">
        <f t="shared" si="914"/>
        <v>0.181547619047619</v>
      </c>
      <c r="AH130" s="255">
        <f t="shared" si="914"/>
        <v>0.121195248700817</v>
      </c>
      <c r="AI130" s="255">
        <f t="shared" si="914"/>
        <v>0.139048773099061</v>
      </c>
      <c r="AJ130" s="255">
        <f t="shared" si="914"/>
        <v>0.14021164021164</v>
      </c>
      <c r="AK130" s="255">
        <f t="shared" si="914"/>
        <v>0.511939335269441</v>
      </c>
      <c r="AL130" s="254">
        <f t="shared" si="914"/>
        <v>0.22934102543268</v>
      </c>
      <c r="AM130" s="255">
        <f t="shared" si="914"/>
        <v>0.621916901175302</v>
      </c>
      <c r="AN130" s="255">
        <f t="shared" ref="AN130:BS130" si="915">AN129/AI129-1</f>
        <v>0.287367021276596</v>
      </c>
      <c r="AO130" s="255">
        <f t="shared" si="915"/>
        <v>0.567217142077248</v>
      </c>
      <c r="AP130" s="255">
        <f t="shared" si="915"/>
        <v>0.284601429943443</v>
      </c>
      <c r="AQ130" s="254">
        <f t="shared" si="915"/>
        <v>0.42106480716481</v>
      </c>
      <c r="AR130" s="255">
        <f t="shared" si="915"/>
        <v>0.197081036946315</v>
      </c>
      <c r="AS130" s="255">
        <f t="shared" si="915"/>
        <v>0.247598388596219</v>
      </c>
      <c r="AT130" s="255">
        <f t="shared" si="915"/>
        <v>0.124793172515893</v>
      </c>
      <c r="AU130" s="255">
        <f t="shared" si="915"/>
        <v>0.0255025751786009</v>
      </c>
      <c r="AV130" s="254">
        <f t="shared" si="915"/>
        <v>0.141116279069767</v>
      </c>
      <c r="AW130" s="255">
        <f t="shared" si="915"/>
        <v>0.0623241538068038</v>
      </c>
      <c r="AX130" s="255">
        <f t="shared" si="915"/>
        <v>0.129077661864547</v>
      </c>
      <c r="AY130" s="255">
        <f t="shared" si="915"/>
        <v>0.20873335397956</v>
      </c>
      <c r="AZ130" s="255">
        <f t="shared" si="915"/>
        <v>0.349129202106115</v>
      </c>
      <c r="BA130" s="254">
        <f t="shared" si="915"/>
        <v>0.189451373603978</v>
      </c>
      <c r="BB130" s="255">
        <f t="shared" si="915"/>
        <v>0.291813804173355</v>
      </c>
      <c r="BC130" s="255">
        <f t="shared" si="915"/>
        <v>0.224242868666129</v>
      </c>
      <c r="BD130" s="255">
        <f t="shared" si="915"/>
        <v>0.262298232129131</v>
      </c>
      <c r="BE130" s="255">
        <f t="shared" si="915"/>
        <v>0.253977784449115</v>
      </c>
      <c r="BF130" s="254">
        <f t="shared" si="915"/>
        <v>0.257333287643068</v>
      </c>
      <c r="BG130" s="255">
        <f t="shared" si="915"/>
        <v>0.191911033797217</v>
      </c>
      <c r="BH130" s="255">
        <f t="shared" si="915"/>
        <v>0.227792752321055</v>
      </c>
      <c r="BI130" s="255">
        <f t="shared" si="915"/>
        <v>0.215710153752474</v>
      </c>
      <c r="BJ130" s="255">
        <f t="shared" si="915"/>
        <v>0.1518314579842</v>
      </c>
      <c r="BK130" s="254">
        <f t="shared" si="915"/>
        <v>0.19505880108472</v>
      </c>
      <c r="BL130" s="255">
        <f t="shared" si="915"/>
        <v>0.207349491790461</v>
      </c>
      <c r="BM130" s="255">
        <f t="shared" si="915"/>
        <v>0.385793735974241</v>
      </c>
      <c r="BN130" s="255">
        <f t="shared" si="915"/>
        <v>0.192086150763837</v>
      </c>
      <c r="BO130" s="255">
        <f t="shared" si="915"/>
        <v>0.16835716661124</v>
      </c>
      <c r="BP130" s="254">
        <f t="shared" si="915"/>
        <v>0.234192731792422</v>
      </c>
      <c r="BQ130" s="255">
        <f t="shared" si="915"/>
        <v>0.155852005353365</v>
      </c>
      <c r="BR130" s="255">
        <f t="shared" si="915"/>
        <v>0.00880095754418075</v>
      </c>
      <c r="BS130" s="255">
        <f t="shared" si="915"/>
        <v>0.109453781512605</v>
      </c>
      <c r="BT130" s="255">
        <f t="shared" ref="BT130:CT130" si="916">BT129/BO129-1</f>
        <v>0.258414573400698</v>
      </c>
      <c r="BU130" s="254">
        <f t="shared" si="916"/>
        <v>0.131648727306324</v>
      </c>
      <c r="BV130" s="255">
        <f t="shared" si="916"/>
        <v>0.225973928958279</v>
      </c>
      <c r="BW130" s="255">
        <f t="shared" si="916"/>
        <v>0.312081239530988</v>
      </c>
      <c r="BX130" s="255">
        <f t="shared" si="916"/>
        <v>0.389320204506723</v>
      </c>
      <c r="BY130" s="255">
        <f t="shared" si="916"/>
        <v>0.342672962198535</v>
      </c>
      <c r="BZ130" s="254">
        <f t="shared" si="916"/>
        <v>0.322074719963424</v>
      </c>
      <c r="CA130" s="255">
        <f t="shared" si="916"/>
        <v>0.326265118971453</v>
      </c>
      <c r="CB130" s="255">
        <f t="shared" si="916"/>
        <v>0.0809861964413949</v>
      </c>
      <c r="CC130" s="255">
        <f t="shared" si="916"/>
        <v>0.113829448911908</v>
      </c>
      <c r="CD130" s="255">
        <f t="shared" si="916"/>
        <v>0.100654888500495</v>
      </c>
      <c r="CE130" s="254">
        <f t="shared" si="916"/>
        <v>0.145399640592097</v>
      </c>
      <c r="CF130" s="255">
        <f t="shared" si="916"/>
        <v>0.159721584122025</v>
      </c>
      <c r="CG130" s="255">
        <f t="shared" si="916"/>
        <v>0.319702785158941</v>
      </c>
      <c r="CH130" s="255">
        <f t="shared" si="916"/>
        <v>0.182122244202884</v>
      </c>
      <c r="CI130" s="255">
        <f t="shared" si="916"/>
        <v>0.188467351585069</v>
      </c>
      <c r="CJ130" s="254">
        <f t="shared" si="916"/>
        <v>0.20880104378956</v>
      </c>
      <c r="CK130" s="255">
        <f t="shared" si="916"/>
        <v>0.277012974150738</v>
      </c>
      <c r="CL130" s="255">
        <f t="shared" si="916"/>
        <v>0.267217271337485</v>
      </c>
      <c r="CM130" s="255">
        <f t="shared" si="916"/>
        <v>0.366181874644169</v>
      </c>
      <c r="CN130" s="255">
        <f t="shared" si="916"/>
        <v>0.29043786220219</v>
      </c>
      <c r="CO130" s="254">
        <f t="shared" si="916"/>
        <v>0.301441531448757</v>
      </c>
      <c r="CP130" s="255">
        <f t="shared" si="916"/>
        <v>0.304730882581046</v>
      </c>
      <c r="CQ130" s="255">
        <f t="shared" si="916"/>
        <v>0.383075134984037</v>
      </c>
      <c r="CR130" s="255">
        <f t="shared" si="916"/>
        <v>0.237169773197959</v>
      </c>
      <c r="CS130" s="255">
        <f t="shared" si="916"/>
        <v>0.28851575559492</v>
      </c>
      <c r="CT130" s="254">
        <f t="shared" si="916"/>
        <v>0.300190890054868</v>
      </c>
      <c r="CU130" s="255"/>
      <c r="CV130" s="255"/>
      <c r="CW130" s="255"/>
      <c r="CX130" s="255"/>
      <c r="CY130" s="254"/>
      <c r="CZ130" s="255"/>
      <c r="DA130" s="255"/>
      <c r="DB130" s="255"/>
      <c r="DC130" s="255"/>
      <c r="DD130" s="254"/>
      <c r="DE130" s="255"/>
      <c r="DF130" s="255"/>
      <c r="DG130" s="255"/>
      <c r="DH130" s="255"/>
      <c r="DI130" s="254"/>
      <c r="DJ130" s="255"/>
      <c r="DK130" s="255"/>
      <c r="DL130" s="255"/>
      <c r="DM130" s="255"/>
      <c r="DN130" s="254"/>
      <c r="DO130" s="255"/>
      <c r="DP130" s="255"/>
      <c r="DQ130" s="255"/>
      <c r="DR130" s="255"/>
      <c r="DS130" s="254"/>
    </row>
    <row r="131" s="4" customFormat="1" hidden="1" outlineLevel="1" spans="2:123">
      <c r="B131" s="262" t="s">
        <v>72</v>
      </c>
      <c r="C131" s="254">
        <f t="shared" ref="C131:AH131" si="917">-C129/C$13</f>
        <v>0.0275589585020491</v>
      </c>
      <c r="D131" s="255">
        <f t="shared" si="917"/>
        <v>0.03944814459373</v>
      </c>
      <c r="E131" s="255">
        <f t="shared" si="917"/>
        <v>0.0360022480439098</v>
      </c>
      <c r="F131" s="255">
        <f t="shared" si="917"/>
        <v>0.0308534077261809</v>
      </c>
      <c r="G131" s="255">
        <f t="shared" si="917"/>
        <v>0.0196429536845808</v>
      </c>
      <c r="H131" s="254">
        <f t="shared" si="917"/>
        <v>0.0293156375761712</v>
      </c>
      <c r="I131" s="255">
        <f t="shared" si="917"/>
        <v>0.0316846437695146</v>
      </c>
      <c r="J131" s="255">
        <f t="shared" si="917"/>
        <v>0.0307527312192532</v>
      </c>
      <c r="K131" s="255">
        <f t="shared" si="917"/>
        <v>0.0333633464437383</v>
      </c>
      <c r="L131" s="255">
        <f t="shared" si="917"/>
        <v>0.0292155348741114</v>
      </c>
      <c r="M131" s="254">
        <f t="shared" si="917"/>
        <v>0.0310207015443897</v>
      </c>
      <c r="N131" s="255">
        <f t="shared" si="917"/>
        <v>0.0335734821159694</v>
      </c>
      <c r="O131" s="255">
        <f t="shared" si="917"/>
        <v>0.0317786469147463</v>
      </c>
      <c r="P131" s="255">
        <f t="shared" si="917"/>
        <v>0.0321275586437427</v>
      </c>
      <c r="Q131" s="255">
        <f t="shared" si="917"/>
        <v>0.0266190647322922</v>
      </c>
      <c r="R131" s="254">
        <f t="shared" si="917"/>
        <v>0.0301814770341248</v>
      </c>
      <c r="S131" s="255">
        <f t="shared" si="917"/>
        <v>0.0432540411235392</v>
      </c>
      <c r="T131" s="255">
        <f t="shared" si="917"/>
        <v>0.0446614341923655</v>
      </c>
      <c r="U131" s="255">
        <f t="shared" si="917"/>
        <v>0.0448437045056107</v>
      </c>
      <c r="V131" s="255">
        <f t="shared" si="917"/>
        <v>0.0454241779813512</v>
      </c>
      <c r="W131" s="254">
        <f t="shared" si="917"/>
        <v>0.044619470429422</v>
      </c>
      <c r="X131" s="255">
        <f t="shared" si="917"/>
        <v>0.0523751224289912</v>
      </c>
      <c r="Y131" s="255">
        <f t="shared" si="917"/>
        <v>0.0539699757472805</v>
      </c>
      <c r="Z131" s="255">
        <f t="shared" si="917"/>
        <v>0.0503494521263874</v>
      </c>
      <c r="AA131" s="255">
        <f t="shared" si="917"/>
        <v>0.0348430320162385</v>
      </c>
      <c r="AB131" s="254">
        <f t="shared" si="917"/>
        <v>0.0459971119324881</v>
      </c>
      <c r="AC131" s="255">
        <f t="shared" si="917"/>
        <v>0.0389596303607454</v>
      </c>
      <c r="AD131" s="255">
        <f t="shared" si="917"/>
        <v>0.0433748554609482</v>
      </c>
      <c r="AE131" s="255">
        <f t="shared" si="917"/>
        <v>0.0365529010238908</v>
      </c>
      <c r="AF131" s="255">
        <f t="shared" si="917"/>
        <v>0.0252568266374354</v>
      </c>
      <c r="AG131" s="254">
        <f t="shared" si="917"/>
        <v>0.0345846025875926</v>
      </c>
      <c r="AH131" s="255">
        <f t="shared" si="917"/>
        <v>0.0323428632615912</v>
      </c>
      <c r="AI131" s="255">
        <f t="shared" ref="AI131:BN131" si="918">-AI129/AI$13</f>
        <v>0.0354177361849635</v>
      </c>
      <c r="AJ131" s="255">
        <f t="shared" si="918"/>
        <v>0.0318266323800257</v>
      </c>
      <c r="AK131" s="255">
        <f t="shared" si="918"/>
        <v>0.025223406546081</v>
      </c>
      <c r="AL131" s="254">
        <f t="shared" si="918"/>
        <v>0.0302336339810899</v>
      </c>
      <c r="AM131" s="255">
        <f t="shared" si="918"/>
        <v>0.0342949548124243</v>
      </c>
      <c r="AN131" s="255">
        <f t="shared" si="918"/>
        <v>0.034252779212692</v>
      </c>
      <c r="AO131" s="255">
        <f t="shared" si="918"/>
        <v>0.0362769597235078</v>
      </c>
      <c r="AP131" s="255">
        <f t="shared" si="918"/>
        <v>0.0247937799289429</v>
      </c>
      <c r="AQ131" s="254">
        <f t="shared" si="918"/>
        <v>0.031377837322697</v>
      </c>
      <c r="AR131" s="255">
        <f t="shared" si="918"/>
        <v>0.0339202156271871</v>
      </c>
      <c r="AS131" s="255">
        <f t="shared" si="918"/>
        <v>0.0350581835808808</v>
      </c>
      <c r="AT131" s="255">
        <f t="shared" si="918"/>
        <v>0.0339984206370097</v>
      </c>
      <c r="AU131" s="255">
        <f t="shared" si="918"/>
        <v>0.023695136019102</v>
      </c>
      <c r="AV131" s="254">
        <f t="shared" si="918"/>
        <v>0.030837336631498</v>
      </c>
      <c r="AW131" s="255">
        <f t="shared" si="918"/>
        <v>0.032395779708698</v>
      </c>
      <c r="AX131" s="255">
        <f t="shared" si="918"/>
        <v>0.0349016064925127</v>
      </c>
      <c r="AY131" s="255">
        <f t="shared" si="918"/>
        <v>0.0372249616114603</v>
      </c>
      <c r="AZ131" s="255">
        <f t="shared" si="918"/>
        <v>0.0276445759034905</v>
      </c>
      <c r="BA131" s="254">
        <f t="shared" si="918"/>
        <v>0.0324747803539931</v>
      </c>
      <c r="BB131" s="255">
        <f t="shared" si="918"/>
        <v>0.0380031354475568</v>
      </c>
      <c r="BC131" s="255">
        <f t="shared" si="918"/>
        <v>0.0368534910929118</v>
      </c>
      <c r="BD131" s="255">
        <f t="shared" si="918"/>
        <v>0.0410825256987281</v>
      </c>
      <c r="BE131" s="255">
        <f t="shared" si="918"/>
        <v>0.0296545672435238</v>
      </c>
      <c r="BF131" s="254">
        <f t="shared" si="918"/>
        <v>0.0356137737846168</v>
      </c>
      <c r="BG131" s="255">
        <f t="shared" si="918"/>
        <v>0.0387172159930255</v>
      </c>
      <c r="BH131" s="255">
        <f t="shared" si="918"/>
        <v>0.0398390733110472</v>
      </c>
      <c r="BI131" s="255">
        <f t="shared" si="918"/>
        <v>0.0440067889261153</v>
      </c>
      <c r="BJ131" s="255">
        <f t="shared" si="918"/>
        <v>0.0304529457933514</v>
      </c>
      <c r="BK131" s="254">
        <f t="shared" si="918"/>
        <v>0.0374071401028497</v>
      </c>
      <c r="BL131" s="255">
        <f t="shared" si="918"/>
        <v>0.0445179480575891</v>
      </c>
      <c r="BM131" s="255">
        <f t="shared" si="918"/>
        <v>0.0488870225486788</v>
      </c>
      <c r="BN131" s="255">
        <f t="shared" si="918"/>
        <v>0.0461363996161762</v>
      </c>
      <c r="BO131" s="255">
        <f t="shared" ref="BO131:CI131" si="919">-BO129/BO$13</f>
        <v>0.0302612028682788</v>
      </c>
      <c r="BP131" s="254">
        <f t="shared" si="919"/>
        <v>0.0408561155831532</v>
      </c>
      <c r="BQ131" s="255">
        <f t="shared" si="919"/>
        <v>0.041210787180987</v>
      </c>
      <c r="BR131" s="255">
        <f t="shared" si="919"/>
        <v>0.0396074637180373</v>
      </c>
      <c r="BS131" s="255">
        <f t="shared" si="919"/>
        <v>0.04238050972708</v>
      </c>
      <c r="BT131" s="255">
        <f t="shared" si="919"/>
        <v>0.0302945428880758</v>
      </c>
      <c r="BU131" s="254">
        <f t="shared" si="919"/>
        <v>0.0372482110160237</v>
      </c>
      <c r="BV131" s="255">
        <f t="shared" si="919"/>
        <v>0.04195624524648</v>
      </c>
      <c r="BW131" s="255">
        <f t="shared" si="919"/>
        <v>0.0425640061945861</v>
      </c>
      <c r="BX131" s="255">
        <f t="shared" si="919"/>
        <v>0.0480537059273005</v>
      </c>
      <c r="BY131" s="255">
        <f t="shared" si="919"/>
        <v>0.0339813953488372</v>
      </c>
      <c r="BZ131" s="254">
        <f t="shared" si="919"/>
        <v>0.0406941780986297</v>
      </c>
      <c r="CA131" s="255">
        <f t="shared" si="919"/>
        <v>0.0667707627131643</v>
      </c>
      <c r="CB131" s="255">
        <f t="shared" si="919"/>
        <v>0.0450130075232103</v>
      </c>
      <c r="CC131" s="255">
        <f t="shared" si="919"/>
        <v>0.0438803106424945</v>
      </c>
      <c r="CD131" s="255">
        <f t="shared" si="919"/>
        <v>0.0302211208451668</v>
      </c>
      <c r="CE131" s="254">
        <f t="shared" si="919"/>
        <v>0.0421360968804458</v>
      </c>
      <c r="CF131" s="255">
        <f t="shared" si="919"/>
        <v>0.0411626481072602</v>
      </c>
      <c r="CG131" s="255">
        <f t="shared" si="919"/>
        <v>0.0369759647267578</v>
      </c>
      <c r="CH131" s="255">
        <f t="shared" si="919"/>
        <v>0.0399628797431918</v>
      </c>
      <c r="CI131" s="255">
        <f t="shared" si="919"/>
        <v>0.0291766200022357</v>
      </c>
      <c r="CJ131" s="254">
        <f t="shared" ref="CJ131:CO131" si="920">-CJ129/CJ$13</f>
        <v>0.0358350207468349</v>
      </c>
      <c r="CK131" s="255">
        <f t="shared" si="920"/>
        <v>0.0399575323388265</v>
      </c>
      <c r="CL131" s="255">
        <f t="shared" si="920"/>
        <v>0.0363806569296184</v>
      </c>
      <c r="CM131" s="255">
        <f t="shared" si="920"/>
        <v>0.0426455216224556</v>
      </c>
      <c r="CN131" s="255">
        <f t="shared" si="920"/>
        <v>0.0289201605577238</v>
      </c>
      <c r="CO131" s="254">
        <f t="shared" si="920"/>
        <v>0.0359768636232606</v>
      </c>
      <c r="CP131" s="255">
        <f t="shared" ref="CP131:CT131" si="921">-CP129/CP$13</f>
        <v>0.0420413516247566</v>
      </c>
      <c r="CQ131" s="255">
        <f t="shared" si="921"/>
        <v>0.0425540871777346</v>
      </c>
      <c r="CR131" s="255">
        <f t="shared" si="921"/>
        <v>0.0444461482484945</v>
      </c>
      <c r="CS131" s="255">
        <f t="shared" si="921"/>
        <v>0.0322267334310317</v>
      </c>
      <c r="CT131" s="254">
        <f t="shared" si="921"/>
        <v>0.0394399662843719</v>
      </c>
      <c r="CU131" s="255"/>
      <c r="CV131" s="255"/>
      <c r="CW131" s="255"/>
      <c r="CX131" s="255"/>
      <c r="CY131" s="254"/>
      <c r="CZ131" s="255"/>
      <c r="DA131" s="255"/>
      <c r="DB131" s="255"/>
      <c r="DC131" s="255"/>
      <c r="DD131" s="254"/>
      <c r="DE131" s="255"/>
      <c r="DF131" s="255"/>
      <c r="DG131" s="255"/>
      <c r="DH131" s="255"/>
      <c r="DI131" s="254"/>
      <c r="DJ131" s="255"/>
      <c r="DK131" s="255"/>
      <c r="DL131" s="255"/>
      <c r="DM131" s="255"/>
      <c r="DN131" s="254"/>
      <c r="DO131" s="255"/>
      <c r="DP131" s="255"/>
      <c r="DQ131" s="255"/>
      <c r="DR131" s="255"/>
      <c r="DS131" s="254"/>
    </row>
    <row r="132" s="4" customFormat="1" hidden="1" outlineLevel="1" spans="2:123">
      <c r="B132" s="245" t="s">
        <v>358</v>
      </c>
      <c r="C132" s="254"/>
      <c r="D132" s="255"/>
      <c r="E132" s="255"/>
      <c r="F132" s="255"/>
      <c r="G132" s="255"/>
      <c r="H132" s="254"/>
      <c r="I132" s="255"/>
      <c r="J132" s="255"/>
      <c r="K132" s="255"/>
      <c r="L132" s="255"/>
      <c r="M132" s="254"/>
      <c r="N132" s="255"/>
      <c r="O132" s="255"/>
      <c r="P132" s="255"/>
      <c r="Q132" s="255"/>
      <c r="R132" s="254"/>
      <c r="S132" s="255"/>
      <c r="T132" s="255"/>
      <c r="U132" s="255"/>
      <c r="V132" s="255"/>
      <c r="W132" s="254"/>
      <c r="X132" s="255"/>
      <c r="Y132" s="255"/>
      <c r="Z132" s="255"/>
      <c r="AA132" s="255"/>
      <c r="AB132" s="254"/>
      <c r="AC132" s="255"/>
      <c r="AD132" s="255"/>
      <c r="AE132" s="255"/>
      <c r="AF132" s="255"/>
      <c r="AG132" s="254"/>
      <c r="AH132" s="255"/>
      <c r="AI132" s="255"/>
      <c r="AJ132" s="255"/>
      <c r="AK132" s="255"/>
      <c r="AL132" s="254"/>
      <c r="AM132" s="255"/>
      <c r="AN132" s="255"/>
      <c r="AO132" s="255"/>
      <c r="AP132" s="255"/>
      <c r="AQ132" s="254"/>
      <c r="AR132" s="255"/>
      <c r="AS132" s="255"/>
      <c r="AT132" s="255"/>
      <c r="AU132" s="255"/>
      <c r="AV132" s="254"/>
      <c r="AW132" s="255"/>
      <c r="AX132" s="255"/>
      <c r="AY132" s="255"/>
      <c r="AZ132" s="255"/>
      <c r="BA132" s="254"/>
      <c r="BB132" s="255"/>
      <c r="BC132" s="255"/>
      <c r="BD132" s="255"/>
      <c r="BE132" s="255"/>
      <c r="BF132" s="254"/>
      <c r="BG132" s="255"/>
      <c r="BH132" s="255"/>
      <c r="BI132" s="255"/>
      <c r="BJ132" s="255"/>
      <c r="BK132" s="254"/>
      <c r="BL132" s="255"/>
      <c r="BM132" s="255"/>
      <c r="BN132" s="255"/>
      <c r="BO132" s="255"/>
      <c r="BP132" s="254"/>
      <c r="BQ132" s="255"/>
      <c r="BR132" s="255"/>
      <c r="BS132" s="255"/>
      <c r="BT132" s="255"/>
      <c r="BU132" s="248">
        <v>-25.3</v>
      </c>
      <c r="BV132" s="255"/>
      <c r="BW132" s="255"/>
      <c r="BX132" s="255"/>
      <c r="BY132" s="255"/>
      <c r="BZ132" s="248">
        <v>-28.6</v>
      </c>
      <c r="CA132" s="255"/>
      <c r="CB132" s="255"/>
      <c r="CC132" s="255"/>
      <c r="CD132" s="255"/>
      <c r="CE132" s="248">
        <v>-20.5</v>
      </c>
      <c r="CF132" s="255"/>
      <c r="CG132" s="255"/>
      <c r="CH132" s="255"/>
      <c r="CI132" s="255"/>
      <c r="CJ132" s="254"/>
      <c r="CK132" s="255"/>
      <c r="CL132" s="255"/>
      <c r="CM132" s="255"/>
      <c r="CN132" s="255"/>
      <c r="CO132" s="254"/>
      <c r="CP132" s="255"/>
      <c r="CQ132" s="255"/>
      <c r="CR132" s="255"/>
      <c r="CS132" s="255"/>
      <c r="CT132" s="254"/>
      <c r="CU132" s="255"/>
      <c r="CV132" s="255"/>
      <c r="CW132" s="255"/>
      <c r="CX132" s="255"/>
      <c r="CY132" s="254"/>
      <c r="CZ132" s="255"/>
      <c r="DA132" s="255"/>
      <c r="DB132" s="255"/>
      <c r="DC132" s="255"/>
      <c r="DD132" s="254"/>
      <c r="DE132" s="255"/>
      <c r="DF132" s="255"/>
      <c r="DG132" s="255"/>
      <c r="DH132" s="255"/>
      <c r="DI132" s="254"/>
      <c r="DJ132" s="255"/>
      <c r="DK132" s="255"/>
      <c r="DL132" s="255"/>
      <c r="DM132" s="255"/>
      <c r="DN132" s="254"/>
      <c r="DO132" s="255"/>
      <c r="DP132" s="255"/>
      <c r="DQ132" s="255"/>
      <c r="DR132" s="255"/>
      <c r="DS132" s="254"/>
    </row>
    <row r="133" s="4" customFormat="1" hidden="1" outlineLevel="1" spans="2:123">
      <c r="B133" s="262" t="s">
        <v>359</v>
      </c>
      <c r="C133" s="254"/>
      <c r="D133" s="255"/>
      <c r="E133" s="255"/>
      <c r="F133" s="255"/>
      <c r="G133" s="255"/>
      <c r="H133" s="254"/>
      <c r="I133" s="255"/>
      <c r="J133" s="255"/>
      <c r="K133" s="255"/>
      <c r="L133" s="255"/>
      <c r="M133" s="254"/>
      <c r="N133" s="255"/>
      <c r="O133" s="255"/>
      <c r="P133" s="255"/>
      <c r="Q133" s="255"/>
      <c r="R133" s="254"/>
      <c r="S133" s="255"/>
      <c r="T133" s="255"/>
      <c r="U133" s="255"/>
      <c r="V133" s="255"/>
      <c r="W133" s="254"/>
      <c r="X133" s="255"/>
      <c r="Y133" s="255"/>
      <c r="Z133" s="255"/>
      <c r="AA133" s="255"/>
      <c r="AB133" s="254"/>
      <c r="AC133" s="255"/>
      <c r="AD133" s="255"/>
      <c r="AE133" s="255"/>
      <c r="AF133" s="255"/>
      <c r="AG133" s="254"/>
      <c r="AH133" s="255"/>
      <c r="AI133" s="255"/>
      <c r="AJ133" s="255"/>
      <c r="AK133" s="255"/>
      <c r="AL133" s="254"/>
      <c r="AM133" s="255"/>
      <c r="AN133" s="255"/>
      <c r="AO133" s="255"/>
      <c r="AP133" s="255"/>
      <c r="AQ133" s="254"/>
      <c r="AR133" s="255"/>
      <c r="AS133" s="255"/>
      <c r="AT133" s="255"/>
      <c r="AU133" s="255"/>
      <c r="AV133" s="254"/>
      <c r="AW133" s="255"/>
      <c r="AX133" s="255"/>
      <c r="AY133" s="255"/>
      <c r="AZ133" s="255"/>
      <c r="BA133" s="254"/>
      <c r="BB133" s="255"/>
      <c r="BC133" s="255"/>
      <c r="BD133" s="255"/>
      <c r="BE133" s="255"/>
      <c r="BF133" s="254"/>
      <c r="BG133" s="255"/>
      <c r="BH133" s="255"/>
      <c r="BI133" s="255"/>
      <c r="BJ133" s="255"/>
      <c r="BK133" s="254"/>
      <c r="BL133" s="255"/>
      <c r="BM133" s="255"/>
      <c r="BN133" s="255"/>
      <c r="BO133" s="255"/>
      <c r="BP133" s="254"/>
      <c r="BQ133" s="255"/>
      <c r="BR133" s="255"/>
      <c r="BS133" s="255"/>
      <c r="BT133" s="255"/>
      <c r="BU133" s="254"/>
      <c r="BV133" s="255"/>
      <c r="BW133" s="255"/>
      <c r="BX133" s="255"/>
      <c r="BY133" s="255"/>
      <c r="BZ133" s="254"/>
      <c r="CA133" s="255"/>
      <c r="CB133" s="255"/>
      <c r="CC133" s="255"/>
      <c r="CD133" s="255"/>
      <c r="CE133" s="254"/>
      <c r="CF133" s="255"/>
      <c r="CG133" s="255"/>
      <c r="CH133" s="255"/>
      <c r="CI133" s="255"/>
      <c r="CJ133" s="254"/>
      <c r="CK133" s="255"/>
      <c r="CL133" s="255"/>
      <c r="CM133" s="255"/>
      <c r="CN133" s="255"/>
      <c r="CO133" s="254"/>
      <c r="CP133" s="255"/>
      <c r="CQ133" s="255"/>
      <c r="CR133" s="255"/>
      <c r="CS133" s="255"/>
      <c r="CT133" s="254"/>
      <c r="CU133" s="255"/>
      <c r="CV133" s="255"/>
      <c r="CW133" s="255"/>
      <c r="CX133" s="255"/>
      <c r="CY133" s="254"/>
      <c r="CZ133" s="255"/>
      <c r="DA133" s="255"/>
      <c r="DB133" s="255"/>
      <c r="DC133" s="255"/>
      <c r="DD133" s="254"/>
      <c r="DE133" s="255"/>
      <c r="DF133" s="255"/>
      <c r="DG133" s="255"/>
      <c r="DH133" s="255"/>
      <c r="DI133" s="254"/>
      <c r="DJ133" s="255"/>
      <c r="DK133" s="255"/>
      <c r="DL133" s="255"/>
      <c r="DM133" s="255"/>
      <c r="DN133" s="254"/>
      <c r="DO133" s="255"/>
      <c r="DP133" s="255"/>
      <c r="DQ133" s="255"/>
      <c r="DR133" s="255"/>
      <c r="DS133" s="254"/>
    </row>
    <row r="134" s="3" customFormat="1" hidden="1" outlineLevel="1" spans="2:123">
      <c r="B134" s="263" t="s">
        <v>360</v>
      </c>
      <c r="C134" s="264">
        <v>-19.448</v>
      </c>
      <c r="D134" s="265">
        <v>-8.207</v>
      </c>
      <c r="E134" s="265">
        <v>-7.94</v>
      </c>
      <c r="F134" s="265">
        <v>-9.613</v>
      </c>
      <c r="G134" s="265">
        <v>-15.416981</v>
      </c>
      <c r="H134" s="264">
        <f>SUM(D134:G134)</f>
        <v>-41.176981</v>
      </c>
      <c r="I134" s="265">
        <v>-13.664</v>
      </c>
      <c r="J134" s="265">
        <v>-16.614142</v>
      </c>
      <c r="K134" s="265">
        <v>-17.227413</v>
      </c>
      <c r="L134" s="265">
        <v>-25.397557</v>
      </c>
      <c r="M134" s="264">
        <f>SUM(I134:L134)</f>
        <v>-72.903112</v>
      </c>
      <c r="N134" s="265">
        <v>-22.178568</v>
      </c>
      <c r="O134" s="265">
        <v>-27.434066</v>
      </c>
      <c r="P134" s="265">
        <v>-30.26986</v>
      </c>
      <c r="Q134" s="265">
        <v>-48.528681</v>
      </c>
      <c r="R134" s="264">
        <f>SUM(N134:Q134)</f>
        <v>-128.411175</v>
      </c>
      <c r="S134" s="265">
        <v>-36.645025</v>
      </c>
      <c r="T134" s="265">
        <v>-41.107858</v>
      </c>
      <c r="U134" s="265">
        <v>-45.153576</v>
      </c>
      <c r="V134" s="265">
        <v>-52.261</v>
      </c>
      <c r="W134" s="264">
        <f>SUM(S134:V134)</f>
        <v>-175.167459</v>
      </c>
      <c r="X134" s="265">
        <v>-46.731</v>
      </c>
      <c r="Y134" s="265">
        <v>-52.557</v>
      </c>
      <c r="Z134" s="265">
        <v>-56.553</v>
      </c>
      <c r="AA134" s="265">
        <v>-74.046</v>
      </c>
      <c r="AB134" s="264">
        <f>SUM(X134:AA134)</f>
        <v>-229.887</v>
      </c>
      <c r="AC134" s="265">
        <v>-63.94</v>
      </c>
      <c r="AD134" s="265">
        <v>-71.91</v>
      </c>
      <c r="AE134" s="265">
        <v>-78.968</v>
      </c>
      <c r="AF134" s="265">
        <v>-101.939</v>
      </c>
      <c r="AG134" s="264">
        <f>SUM(AC134:AF134)</f>
        <v>-316.757</v>
      </c>
      <c r="AH134" s="265">
        <v>-77.053</v>
      </c>
      <c r="AI134" s="265">
        <v>-90.256</v>
      </c>
      <c r="AJ134" s="265">
        <v>-101.703</v>
      </c>
      <c r="AK134" s="265">
        <v>-162.502</v>
      </c>
      <c r="AL134" s="264">
        <f>SUM(AH134:AK134)</f>
        <v>-431.514</v>
      </c>
      <c r="AM134" s="265">
        <v>-128.434</v>
      </c>
      <c r="AN134" s="265">
        <v>-126.879</v>
      </c>
      <c r="AO134" s="265">
        <v>-141.237</v>
      </c>
      <c r="AP134" s="265">
        <v>-210.982</v>
      </c>
      <c r="AQ134" s="264">
        <f>SUM(AM134:AP134)</f>
        <v>-607.532</v>
      </c>
      <c r="AR134" s="265">
        <v>-175.057</v>
      </c>
      <c r="AS134" s="265">
        <v>-158.558</v>
      </c>
      <c r="AT134" s="265">
        <v>-175.294</v>
      </c>
      <c r="AU134" s="265">
        <v>-242.203</v>
      </c>
      <c r="AV134" s="264">
        <f>SUM(AR134:AU134)</f>
        <v>-751.112</v>
      </c>
      <c r="AW134" s="265">
        <v>-188.874</v>
      </c>
      <c r="AX134" s="265">
        <v>-193.401</v>
      </c>
      <c r="AY134" s="265">
        <v>-208.308</v>
      </c>
      <c r="AZ134" s="265">
        <v>-292.45</v>
      </c>
      <c r="BA134" s="264">
        <f>SUM(AW134:AZ134)</f>
        <v>-883.033</v>
      </c>
      <c r="BB134" s="265">
        <v>-217.667</v>
      </c>
      <c r="BC134" s="265">
        <v>-240.985</v>
      </c>
      <c r="BD134" s="265">
        <v>-254.896</v>
      </c>
      <c r="BE134" s="265">
        <v>-349.809</v>
      </c>
      <c r="BF134" s="264">
        <f>SUM(BB134:BE134)</f>
        <v>-1063.357</v>
      </c>
      <c r="BG134" s="265">
        <v>-256.385</v>
      </c>
      <c r="BH134" s="265">
        <v>-260.359</v>
      </c>
      <c r="BI134" s="265">
        <v>-265.99</v>
      </c>
      <c r="BJ134" s="265">
        <v>-362.041</v>
      </c>
      <c r="BK134" s="264">
        <f>SUM(BG134:BJ134)</f>
        <v>-1144.775</v>
      </c>
      <c r="BL134" s="265">
        <f>-263.412+5.419</f>
        <v>-257.993</v>
      </c>
      <c r="BM134" s="265">
        <f>-283.632+2.244</f>
        <v>-281.388</v>
      </c>
      <c r="BN134" s="265">
        <f>-297.056+1.178</f>
        <v>-295.878</v>
      </c>
      <c r="BO134" s="265">
        <f>-406.291-0.143</f>
        <v>-406.434</v>
      </c>
      <c r="BP134" s="264">
        <f>SUM(BL134:BO134)</f>
        <v>-1241.693</v>
      </c>
      <c r="BQ134" s="265">
        <f>'2. Consolidated'!BQ40</f>
        <v>-304.973</v>
      </c>
      <c r="BR134" s="265">
        <f>'2. Consolidated'!BR40</f>
        <v>-327.306</v>
      </c>
      <c r="BS134" s="265">
        <f>'2. Consolidated'!BS40</f>
        <v>-340.878</v>
      </c>
      <c r="BT134" s="265">
        <f>'2. Consolidated'!BT40</f>
        <v>-498.875</v>
      </c>
      <c r="BU134" s="264">
        <f>SUM(BQ134:BT134)</f>
        <v>-1472.032</v>
      </c>
      <c r="BV134" s="265">
        <f>'2. Consolidated'!BV40</f>
        <v>-360.595</v>
      </c>
      <c r="BW134" s="265">
        <f>'2. Consolidated'!BW40</f>
        <v>-397.556</v>
      </c>
      <c r="BX134" s="265">
        <f>'2. Consolidated'!BX40</f>
        <v>-411.094</v>
      </c>
      <c r="BY134" s="265">
        <f>'2. Consolidated'!BY40</f>
        <v>-586.665</v>
      </c>
      <c r="BZ134" s="264">
        <f>SUM(BV134:BY134)</f>
        <v>-1755.91</v>
      </c>
      <c r="CA134" s="265">
        <f>'2. Consolidated'!CA40</f>
        <v>-317.56</v>
      </c>
      <c r="CB134" s="265">
        <f>'2. Consolidated'!CB40</f>
        <v>-413.441</v>
      </c>
      <c r="CC134" s="265">
        <f>'2. Consolidated'!CC40</f>
        <v>-490.072</v>
      </c>
      <c r="CD134" s="265">
        <f>'2. Consolidated'!CD40</f>
        <v>-716.816</v>
      </c>
      <c r="CE134" s="264">
        <f>SUM(CA134:CD134)</f>
        <v>-1937.889</v>
      </c>
      <c r="CF134" s="265">
        <f>'2. Consolidated'!CF40</f>
        <v>-526.151</v>
      </c>
      <c r="CG134" s="265">
        <f>'2. Consolidated'!CG40</f>
        <v>-607.932</v>
      </c>
      <c r="CH134" s="265">
        <f>'2. Consolidated'!CH40</f>
        <v>-621.028</v>
      </c>
      <c r="CI134" s="265">
        <f>'2. Consolidated'!CI40</f>
        <v>-892.941</v>
      </c>
      <c r="CJ134" s="264">
        <f>SUM(CF134:CI134)</f>
        <v>-2648.052</v>
      </c>
      <c r="CK134" s="265">
        <f>'2. Consolidated'!CK40</f>
        <v>-743.07</v>
      </c>
      <c r="CL134" s="265">
        <f>'2. Consolidated'!CL40</f>
        <v>-812.852</v>
      </c>
      <c r="CM134" s="265">
        <f>'2. Consolidated'!CM40</f>
        <v>-818.037</v>
      </c>
      <c r="CN134" s="265">
        <f>'2. Consolidated'!CN40</f>
        <v>-1181.291</v>
      </c>
      <c r="CO134" s="264">
        <f>SUM(CK134:CN134)</f>
        <v>-3555.25</v>
      </c>
      <c r="CP134" s="265">
        <f>'2. Consolidated'!CP40</f>
        <v>-849.987</v>
      </c>
      <c r="CQ134" s="265">
        <f>'2. Consolidated'!CQ40</f>
        <v>-910.654</v>
      </c>
      <c r="CR134" s="265">
        <f>'2. Consolidated'!CR40</f>
        <v>-923.845</v>
      </c>
      <c r="CS134" s="265">
        <f>'2. Consolidated'!CS40</f>
        <v>-1301.678</v>
      </c>
      <c r="CT134" s="264">
        <f>SUM(CP134:CS134)</f>
        <v>-3986.164</v>
      </c>
      <c r="CU134" s="265"/>
      <c r="CV134" s="265"/>
      <c r="CW134" s="265"/>
      <c r="CX134" s="265"/>
      <c r="CY134" s="264"/>
      <c r="CZ134" s="265"/>
      <c r="DA134" s="265"/>
      <c r="DB134" s="265"/>
      <c r="DC134" s="265"/>
      <c r="DD134" s="264"/>
      <c r="DE134" s="265"/>
      <c r="DF134" s="265"/>
      <c r="DG134" s="265"/>
      <c r="DH134" s="265"/>
      <c r="DI134" s="264"/>
      <c r="DJ134" s="265"/>
      <c r="DK134" s="265"/>
      <c r="DL134" s="265"/>
      <c r="DM134" s="265"/>
      <c r="DN134" s="264"/>
      <c r="DO134" s="265"/>
      <c r="DP134" s="265"/>
      <c r="DQ134" s="265"/>
      <c r="DR134" s="265"/>
      <c r="DS134" s="264"/>
    </row>
    <row r="135" hidden="1" outlineLevel="1" spans="2:123">
      <c r="B135" s="149" t="s">
        <v>69</v>
      </c>
      <c r="C135" s="252"/>
      <c r="D135" s="253"/>
      <c r="E135" s="253"/>
      <c r="F135" s="253"/>
      <c r="G135" s="253"/>
      <c r="H135" s="254">
        <f t="shared" ref="H135:AM135" si="922">H134/C134-1</f>
        <v>1.11728614767585</v>
      </c>
      <c r="I135" s="255">
        <f t="shared" si="922"/>
        <v>0.664920190081637</v>
      </c>
      <c r="J135" s="255">
        <f t="shared" si="922"/>
        <v>1.09246120906801</v>
      </c>
      <c r="K135" s="255">
        <f t="shared" si="922"/>
        <v>0.792095391657131</v>
      </c>
      <c r="L135" s="255">
        <f t="shared" si="922"/>
        <v>0.647375514051681</v>
      </c>
      <c r="M135" s="254">
        <f t="shared" si="922"/>
        <v>0.770482202179902</v>
      </c>
      <c r="N135" s="255">
        <f t="shared" si="922"/>
        <v>0.623138758782201</v>
      </c>
      <c r="O135" s="255">
        <f t="shared" si="922"/>
        <v>0.651247834525551</v>
      </c>
      <c r="P135" s="255">
        <f t="shared" si="922"/>
        <v>0.757075191730761</v>
      </c>
      <c r="Q135" s="255">
        <f t="shared" si="922"/>
        <v>0.910761771299499</v>
      </c>
      <c r="R135" s="254">
        <f t="shared" si="922"/>
        <v>0.761394973097994</v>
      </c>
      <c r="S135" s="255">
        <f t="shared" si="922"/>
        <v>0.652271914038814</v>
      </c>
      <c r="T135" s="255">
        <f t="shared" si="922"/>
        <v>0.498423820953117</v>
      </c>
      <c r="U135" s="255">
        <f t="shared" si="922"/>
        <v>0.491700853588355</v>
      </c>
      <c r="V135" s="255">
        <f t="shared" si="922"/>
        <v>0.0769095496331338</v>
      </c>
      <c r="W135" s="254">
        <f t="shared" si="922"/>
        <v>0.36411382420572</v>
      </c>
      <c r="X135" s="255">
        <f t="shared" si="922"/>
        <v>0.275234496360693</v>
      </c>
      <c r="Y135" s="255">
        <f t="shared" si="922"/>
        <v>0.278514682034758</v>
      </c>
      <c r="Z135" s="255">
        <f t="shared" si="922"/>
        <v>0.252458941457926</v>
      </c>
      <c r="AA135" s="255">
        <f t="shared" si="922"/>
        <v>0.416850041139665</v>
      </c>
      <c r="AB135" s="254">
        <f t="shared" si="922"/>
        <v>0.312384168340308</v>
      </c>
      <c r="AC135" s="255">
        <f t="shared" si="922"/>
        <v>0.368256617662793</v>
      </c>
      <c r="AD135" s="255">
        <f t="shared" si="922"/>
        <v>0.368228780181517</v>
      </c>
      <c r="AE135" s="255">
        <f t="shared" si="922"/>
        <v>0.396353862748219</v>
      </c>
      <c r="AF135" s="255">
        <f t="shared" si="922"/>
        <v>0.376698268643816</v>
      </c>
      <c r="AG135" s="254">
        <f t="shared" si="922"/>
        <v>0.377881306902957</v>
      </c>
      <c r="AH135" s="255">
        <f t="shared" si="922"/>
        <v>0.205082890209571</v>
      </c>
      <c r="AI135" s="255">
        <f t="shared" si="922"/>
        <v>0.255124461131971</v>
      </c>
      <c r="AJ135" s="255">
        <f t="shared" si="922"/>
        <v>0.287901428426705</v>
      </c>
      <c r="AK135" s="255">
        <f t="shared" si="922"/>
        <v>0.594110203160714</v>
      </c>
      <c r="AL135" s="254">
        <f t="shared" si="922"/>
        <v>0.362287179131006</v>
      </c>
      <c r="AM135" s="255">
        <f t="shared" si="922"/>
        <v>0.666826729653615</v>
      </c>
      <c r="AN135" s="255">
        <f t="shared" ref="AN135:BS135" si="923">AN134/AI134-1</f>
        <v>0.405768037581989</v>
      </c>
      <c r="AO135" s="255">
        <f t="shared" si="923"/>
        <v>0.388720096752308</v>
      </c>
      <c r="AP135" s="255">
        <f t="shared" si="923"/>
        <v>0.298334789725665</v>
      </c>
      <c r="AQ135" s="254">
        <f t="shared" si="923"/>
        <v>0.407907970540932</v>
      </c>
      <c r="AR135" s="255">
        <f t="shared" si="923"/>
        <v>0.36301135213417</v>
      </c>
      <c r="AS135" s="255">
        <f t="shared" si="923"/>
        <v>0.249678827859614</v>
      </c>
      <c r="AT135" s="255">
        <f t="shared" si="923"/>
        <v>0.241133697260633</v>
      </c>
      <c r="AU135" s="255">
        <f t="shared" si="923"/>
        <v>0.147979448483757</v>
      </c>
      <c r="AV135" s="254">
        <f t="shared" si="923"/>
        <v>0.23633323018376</v>
      </c>
      <c r="AW135" s="255">
        <f t="shared" si="923"/>
        <v>0.0789285775490269</v>
      </c>
      <c r="AX135" s="255">
        <f t="shared" si="923"/>
        <v>0.219749240025732</v>
      </c>
      <c r="AY135" s="255">
        <f t="shared" si="923"/>
        <v>0.188335025728205</v>
      </c>
      <c r="AZ135" s="255">
        <f t="shared" si="923"/>
        <v>0.207458206545749</v>
      </c>
      <c r="BA135" s="254">
        <f t="shared" si="923"/>
        <v>0.175634259604426</v>
      </c>
      <c r="BB135" s="255">
        <f t="shared" si="923"/>
        <v>0.152445545707721</v>
      </c>
      <c r="BC135" s="255">
        <f t="shared" si="923"/>
        <v>0.246038024622417</v>
      </c>
      <c r="BD135" s="255">
        <f t="shared" si="923"/>
        <v>0.223649595790848</v>
      </c>
      <c r="BE135" s="255">
        <f t="shared" si="923"/>
        <v>0.196132672251667</v>
      </c>
      <c r="BF135" s="254">
        <f t="shared" si="923"/>
        <v>0.204209808693447</v>
      </c>
      <c r="BG135" s="255">
        <f t="shared" si="923"/>
        <v>0.177877216114523</v>
      </c>
      <c r="BH135" s="255">
        <f t="shared" si="923"/>
        <v>0.0803950453347717</v>
      </c>
      <c r="BI135" s="255">
        <f t="shared" si="923"/>
        <v>0.0435236331680373</v>
      </c>
      <c r="BJ135" s="255">
        <f t="shared" si="923"/>
        <v>0.0349676537767751</v>
      </c>
      <c r="BK135" s="254">
        <f t="shared" si="923"/>
        <v>0.076566947882978</v>
      </c>
      <c r="BL135" s="255">
        <f t="shared" si="923"/>
        <v>0.00627181777405084</v>
      </c>
      <c r="BM135" s="255">
        <f t="shared" si="923"/>
        <v>0.0807692455417328</v>
      </c>
      <c r="BN135" s="255">
        <f t="shared" si="923"/>
        <v>0.112365126508515</v>
      </c>
      <c r="BO135" s="255">
        <f t="shared" si="923"/>
        <v>0.122618708930756</v>
      </c>
      <c r="BP135" s="254">
        <f t="shared" si="923"/>
        <v>0.0846611779607347</v>
      </c>
      <c r="BQ135" s="255">
        <f t="shared" si="923"/>
        <v>0.182097963898245</v>
      </c>
      <c r="BR135" s="255">
        <f t="shared" si="923"/>
        <v>0.163183931084481</v>
      </c>
      <c r="BS135" s="255">
        <f t="shared" si="923"/>
        <v>0.152089712651836</v>
      </c>
      <c r="BT135" s="255">
        <f t="shared" ref="BT135:CT135" si="924">BT134/BO134-1</f>
        <v>0.227444062258571</v>
      </c>
      <c r="BU135" s="254">
        <f t="shared" si="924"/>
        <v>0.185503985284607</v>
      </c>
      <c r="BV135" s="255">
        <f t="shared" si="924"/>
        <v>0.18238335852682</v>
      </c>
      <c r="BW135" s="255">
        <f t="shared" si="924"/>
        <v>0.21463095696382</v>
      </c>
      <c r="BX135" s="255">
        <f t="shared" si="924"/>
        <v>0.205985719230927</v>
      </c>
      <c r="BY135" s="255">
        <f t="shared" si="924"/>
        <v>0.175975945878226</v>
      </c>
      <c r="BZ135" s="254">
        <f t="shared" si="924"/>
        <v>0.192847709832395</v>
      </c>
      <c r="CA135" s="255">
        <f t="shared" si="924"/>
        <v>-0.119344416866568</v>
      </c>
      <c r="CB135" s="255">
        <f t="shared" si="924"/>
        <v>0.0399566350400951</v>
      </c>
      <c r="CC135" s="255">
        <f t="shared" si="924"/>
        <v>0.192116644854948</v>
      </c>
      <c r="CD135" s="255">
        <f t="shared" si="924"/>
        <v>0.221848925707175</v>
      </c>
      <c r="CE135" s="254">
        <f t="shared" si="924"/>
        <v>0.103637999669687</v>
      </c>
      <c r="CF135" s="255">
        <f t="shared" si="924"/>
        <v>0.656855397405215</v>
      </c>
      <c r="CG135" s="255">
        <f t="shared" si="924"/>
        <v>0.470420205059489</v>
      </c>
      <c r="CH135" s="255">
        <f t="shared" si="924"/>
        <v>0.267217878189327</v>
      </c>
      <c r="CI135" s="255">
        <f t="shared" si="924"/>
        <v>0.245704615968394</v>
      </c>
      <c r="CJ135" s="254">
        <f t="shared" si="924"/>
        <v>0.366462165789682</v>
      </c>
      <c r="CK135" s="255">
        <f t="shared" si="924"/>
        <v>0.41227518335991</v>
      </c>
      <c r="CL135" s="255">
        <f t="shared" si="924"/>
        <v>0.337077173104887</v>
      </c>
      <c r="CM135" s="255">
        <f t="shared" si="924"/>
        <v>0.317230463038704</v>
      </c>
      <c r="CN135" s="255">
        <f t="shared" si="924"/>
        <v>0.322921671196641</v>
      </c>
      <c r="CO135" s="254">
        <f t="shared" si="924"/>
        <v>0.342590704412149</v>
      </c>
      <c r="CP135" s="255">
        <f t="shared" si="924"/>
        <v>0.143885502038839</v>
      </c>
      <c r="CQ135" s="255">
        <f t="shared" si="924"/>
        <v>0.120319566169487</v>
      </c>
      <c r="CR135" s="255">
        <f t="shared" si="924"/>
        <v>0.129343782738434</v>
      </c>
      <c r="CS135" s="255">
        <f t="shared" si="924"/>
        <v>0.101911383393254</v>
      </c>
      <c r="CT135" s="254">
        <f t="shared" si="924"/>
        <v>0.121204978552844</v>
      </c>
      <c r="CU135" s="255"/>
      <c r="CV135" s="255"/>
      <c r="CW135" s="255"/>
      <c r="CX135" s="255"/>
      <c r="CY135" s="254"/>
      <c r="CZ135" s="255"/>
      <c r="DA135" s="255"/>
      <c r="DB135" s="255"/>
      <c r="DC135" s="255"/>
      <c r="DD135" s="254"/>
      <c r="DE135" s="255"/>
      <c r="DF135" s="255"/>
      <c r="DG135" s="255"/>
      <c r="DH135" s="255"/>
      <c r="DI135" s="254"/>
      <c r="DJ135" s="255"/>
      <c r="DK135" s="255"/>
      <c r="DL135" s="255"/>
      <c r="DM135" s="255"/>
      <c r="DN135" s="254"/>
      <c r="DO135" s="255"/>
      <c r="DP135" s="255"/>
      <c r="DQ135" s="255"/>
      <c r="DR135" s="255"/>
      <c r="DS135" s="254"/>
    </row>
    <row r="136" hidden="1" outlineLevel="1" spans="2:123">
      <c r="B136" s="245"/>
      <c r="C136" s="246"/>
      <c r="D136" s="247"/>
      <c r="E136" s="247"/>
      <c r="F136" s="247"/>
      <c r="G136" s="247"/>
      <c r="H136" s="246"/>
      <c r="I136" s="247"/>
      <c r="J136" s="247"/>
      <c r="K136" s="247"/>
      <c r="L136" s="247"/>
      <c r="M136" s="246"/>
      <c r="N136" s="247"/>
      <c r="O136" s="247"/>
      <c r="P136" s="247"/>
      <c r="Q136" s="247"/>
      <c r="R136" s="246"/>
      <c r="S136" s="247"/>
      <c r="T136" s="247"/>
      <c r="U136" s="247"/>
      <c r="V136" s="247"/>
      <c r="W136" s="246"/>
      <c r="X136" s="247"/>
      <c r="Y136" s="247"/>
      <c r="Z136" s="247"/>
      <c r="AA136" s="247"/>
      <c r="AB136" s="246"/>
      <c r="AC136" s="247"/>
      <c r="AD136" s="247"/>
      <c r="AE136" s="247"/>
      <c r="AF136" s="247"/>
      <c r="AG136" s="246"/>
      <c r="AH136" s="247"/>
      <c r="AI136" s="247"/>
      <c r="AJ136" s="247"/>
      <c r="AK136" s="247"/>
      <c r="AL136" s="246"/>
      <c r="AM136" s="247"/>
      <c r="AN136" s="247"/>
      <c r="AO136" s="247"/>
      <c r="AP136" s="247"/>
      <c r="AQ136" s="246"/>
      <c r="AR136" s="247"/>
      <c r="AS136" s="247"/>
      <c r="AT136" s="247"/>
      <c r="AU136" s="247"/>
      <c r="AV136" s="246"/>
      <c r="AW136" s="247"/>
      <c r="AX136" s="247"/>
      <c r="AY136" s="247"/>
      <c r="AZ136" s="247"/>
      <c r="BA136" s="246"/>
      <c r="BB136" s="247"/>
      <c r="BC136" s="247"/>
      <c r="BD136" s="247"/>
      <c r="BE136" s="247"/>
      <c r="BF136" s="246"/>
      <c r="BG136" s="247"/>
      <c r="BH136" s="247"/>
      <c r="BI136" s="247"/>
      <c r="BJ136" s="247"/>
      <c r="BK136" s="246"/>
      <c r="BL136" s="247"/>
      <c r="BM136" s="247"/>
      <c r="BN136" s="247"/>
      <c r="BO136" s="247"/>
      <c r="BP136" s="246"/>
      <c r="BQ136" s="247"/>
      <c r="BR136" s="247"/>
      <c r="BS136" s="247"/>
      <c r="BT136" s="247"/>
      <c r="BU136" s="246"/>
      <c r="BV136" s="247"/>
      <c r="BW136" s="247"/>
      <c r="BX136" s="247"/>
      <c r="BY136" s="247"/>
      <c r="BZ136" s="246"/>
      <c r="CA136" s="247"/>
      <c r="CB136" s="247"/>
      <c r="CC136" s="247"/>
      <c r="CD136" s="247"/>
      <c r="CE136" s="246"/>
      <c r="CF136" s="247"/>
      <c r="CG136" s="247"/>
      <c r="CH136" s="247"/>
      <c r="CI136" s="247"/>
      <c r="CJ136" s="246"/>
      <c r="CK136" s="247"/>
      <c r="CL136" s="247"/>
      <c r="CM136" s="247"/>
      <c r="CN136" s="247"/>
      <c r="CO136" s="246"/>
      <c r="CP136" s="247"/>
      <c r="CQ136" s="247"/>
      <c r="CR136" s="247"/>
      <c r="CS136" s="247"/>
      <c r="CT136" s="246"/>
      <c r="CU136" s="247"/>
      <c r="CV136" s="247"/>
      <c r="CW136" s="247"/>
      <c r="CX136" s="247"/>
      <c r="CY136" s="246"/>
      <c r="CZ136" s="247"/>
      <c r="DA136" s="247"/>
      <c r="DB136" s="247"/>
      <c r="DC136" s="247"/>
      <c r="DD136" s="246"/>
      <c r="DE136" s="247"/>
      <c r="DF136" s="247"/>
      <c r="DG136" s="247"/>
      <c r="DH136" s="247"/>
      <c r="DI136" s="246"/>
      <c r="DJ136" s="247"/>
      <c r="DK136" s="247"/>
      <c r="DL136" s="247"/>
      <c r="DM136" s="247"/>
      <c r="DN136" s="246"/>
      <c r="DO136" s="247"/>
      <c r="DP136" s="247"/>
      <c r="DQ136" s="247"/>
      <c r="DR136" s="247"/>
      <c r="DS136" s="246"/>
    </row>
    <row r="137" hidden="1" outlineLevel="1" spans="2:123">
      <c r="B137" s="263" t="s">
        <v>361</v>
      </c>
      <c r="C137" s="264">
        <f t="shared" ref="C137:BN137" si="925">C13+C134</f>
        <v>21.301</v>
      </c>
      <c r="D137" s="265">
        <f t="shared" si="925"/>
        <v>7.423</v>
      </c>
      <c r="E137" s="265">
        <f t="shared" si="925"/>
        <v>9.186</v>
      </c>
      <c r="F137" s="265">
        <f t="shared" si="925"/>
        <v>10.371</v>
      </c>
      <c r="G137" s="265">
        <f t="shared" si="925"/>
        <v>15.972112</v>
      </c>
      <c r="H137" s="264">
        <f t="shared" si="925"/>
        <v>42.952112</v>
      </c>
      <c r="I137" s="265">
        <f t="shared" si="925"/>
        <v>14.52</v>
      </c>
      <c r="J137" s="265">
        <f t="shared" si="925"/>
        <v>15.903295</v>
      </c>
      <c r="K137" s="265">
        <f t="shared" si="925"/>
        <v>18.740202</v>
      </c>
      <c r="L137" s="265">
        <f t="shared" si="925"/>
        <v>26.818225</v>
      </c>
      <c r="M137" s="264">
        <f t="shared" si="925"/>
        <v>75.981722</v>
      </c>
      <c r="N137" s="265">
        <f t="shared" si="925"/>
        <v>22.610888</v>
      </c>
      <c r="O137" s="265">
        <f t="shared" si="925"/>
        <v>31.246878</v>
      </c>
      <c r="P137" s="265">
        <f t="shared" si="925"/>
        <v>35.88042</v>
      </c>
      <c r="Q137" s="265">
        <f t="shared" si="925"/>
        <v>56.563967</v>
      </c>
      <c r="R137" s="264">
        <f t="shared" si="925"/>
        <v>146.302153</v>
      </c>
      <c r="S137" s="265">
        <f t="shared" si="925"/>
        <v>41.522469</v>
      </c>
      <c r="T137" s="265">
        <f t="shared" si="925"/>
        <v>44.376365</v>
      </c>
      <c r="U137" s="265">
        <f t="shared" si="925"/>
        <v>41.893559</v>
      </c>
      <c r="V137" s="265">
        <f t="shared" si="925"/>
        <v>51.66</v>
      </c>
      <c r="W137" s="264">
        <f t="shared" si="925"/>
        <v>179.452393</v>
      </c>
      <c r="X137" s="265">
        <f t="shared" si="925"/>
        <v>34.949</v>
      </c>
      <c r="Y137" s="265">
        <f t="shared" si="925"/>
        <v>45.164</v>
      </c>
      <c r="Z137" s="265">
        <f t="shared" si="925"/>
        <v>56.338</v>
      </c>
      <c r="AA137" s="265">
        <f t="shared" si="925"/>
        <v>86.56</v>
      </c>
      <c r="AB137" s="264">
        <f t="shared" si="925"/>
        <v>223.011</v>
      </c>
      <c r="AC137" s="265">
        <f t="shared" si="925"/>
        <v>74.357</v>
      </c>
      <c r="AD137" s="265">
        <f t="shared" si="925"/>
        <v>80.298</v>
      </c>
      <c r="AE137" s="265">
        <f t="shared" si="925"/>
        <v>96.832</v>
      </c>
      <c r="AF137" s="265">
        <f t="shared" si="925"/>
        <v>143.46</v>
      </c>
      <c r="AG137" s="264">
        <f t="shared" si="925"/>
        <v>394.947</v>
      </c>
      <c r="AH137" s="265">
        <f t="shared" si="925"/>
        <v>109.727</v>
      </c>
      <c r="AI137" s="265">
        <f t="shared" si="925"/>
        <v>122.067</v>
      </c>
      <c r="AJ137" s="265">
        <f t="shared" si="925"/>
        <v>128.513</v>
      </c>
      <c r="AK137" s="265">
        <f t="shared" si="925"/>
        <v>209.018</v>
      </c>
      <c r="AL137" s="264">
        <f t="shared" si="925"/>
        <v>569.325</v>
      </c>
      <c r="AM137" s="265">
        <f t="shared" si="925"/>
        <v>157.264</v>
      </c>
      <c r="AN137" s="265">
        <f t="shared" si="925"/>
        <v>155.755</v>
      </c>
      <c r="AO137" s="265">
        <f t="shared" si="925"/>
        <v>175.3</v>
      </c>
      <c r="AP137" s="265">
        <f t="shared" si="925"/>
        <v>274.543</v>
      </c>
      <c r="AQ137" s="264">
        <f t="shared" si="925"/>
        <v>762.862</v>
      </c>
      <c r="AR137" s="265">
        <f t="shared" si="925"/>
        <v>170.725</v>
      </c>
      <c r="AS137" s="265">
        <f t="shared" si="925"/>
        <v>185.955</v>
      </c>
      <c r="AT137" s="265">
        <f t="shared" si="925"/>
        <v>204.606</v>
      </c>
      <c r="AU137" s="265">
        <f t="shared" si="925"/>
        <v>278.79</v>
      </c>
      <c r="AV137" s="264">
        <f t="shared" si="925"/>
        <v>840.076</v>
      </c>
      <c r="AW137" s="265">
        <f t="shared" si="925"/>
        <v>195.744</v>
      </c>
      <c r="AX137" s="265">
        <f t="shared" si="925"/>
        <v>197.326</v>
      </c>
      <c r="AY137" s="265">
        <f t="shared" si="925"/>
        <v>211.088</v>
      </c>
      <c r="AZ137" s="265">
        <f t="shared" si="925"/>
        <v>310.019</v>
      </c>
      <c r="BA137" s="264">
        <f t="shared" si="925"/>
        <v>914.177</v>
      </c>
      <c r="BB137" s="265">
        <f t="shared" si="925"/>
        <v>205.877</v>
      </c>
      <c r="BC137" s="265">
        <f t="shared" si="925"/>
        <v>212.025</v>
      </c>
      <c r="BD137" s="265">
        <f t="shared" si="925"/>
        <v>224.797</v>
      </c>
      <c r="BE137" s="265">
        <f t="shared" si="925"/>
        <v>354.467</v>
      </c>
      <c r="BF137" s="264">
        <f t="shared" si="925"/>
        <v>997.166</v>
      </c>
      <c r="BG137" s="265">
        <f t="shared" si="925"/>
        <v>239.131</v>
      </c>
      <c r="BH137" s="265">
        <f t="shared" si="925"/>
        <v>254.161</v>
      </c>
      <c r="BI137" s="265">
        <f t="shared" si="925"/>
        <v>278.426</v>
      </c>
      <c r="BJ137" s="265">
        <f t="shared" si="925"/>
        <v>427.899</v>
      </c>
      <c r="BK137" s="264">
        <f t="shared" si="925"/>
        <v>1199.617</v>
      </c>
      <c r="BL137" s="265">
        <f t="shared" si="925"/>
        <v>262.314</v>
      </c>
      <c r="BM137" s="265">
        <f t="shared" si="925"/>
        <v>299.666</v>
      </c>
      <c r="BN137" s="265">
        <f t="shared" si="925"/>
        <v>323.156</v>
      </c>
      <c r="BO137" s="265">
        <f t="shared" ref="BO137:CT137" si="926">BO13+BO134</f>
        <v>522.346</v>
      </c>
      <c r="BP137" s="264">
        <f t="shared" si="926"/>
        <v>1407.482</v>
      </c>
      <c r="BQ137" s="265">
        <f t="shared" si="926"/>
        <v>344.687</v>
      </c>
      <c r="BR137" s="265">
        <f t="shared" si="926"/>
        <v>396.194</v>
      </c>
      <c r="BS137" s="265">
        <f t="shared" si="926"/>
        <v>406.777</v>
      </c>
      <c r="BT137" s="265">
        <f t="shared" si="926"/>
        <v>668.629</v>
      </c>
      <c r="BU137" s="264">
        <f t="shared" si="926"/>
        <v>1816.287</v>
      </c>
      <c r="BV137" s="265">
        <f t="shared" si="926"/>
        <v>421.72</v>
      </c>
      <c r="BW137" s="265">
        <f t="shared" si="926"/>
        <v>485.796</v>
      </c>
      <c r="BX137" s="265">
        <f t="shared" si="926"/>
        <v>505.006</v>
      </c>
      <c r="BY137" s="265">
        <f t="shared" si="926"/>
        <v>810.835</v>
      </c>
      <c r="BZ137" s="264">
        <f t="shared" si="926"/>
        <v>2223.357</v>
      </c>
      <c r="CA137" s="265">
        <f t="shared" si="926"/>
        <v>334.402</v>
      </c>
      <c r="CB137" s="265">
        <f t="shared" si="926"/>
        <v>489.498</v>
      </c>
      <c r="CC137" s="265">
        <f t="shared" si="926"/>
        <v>627.354</v>
      </c>
      <c r="CD137" s="265">
        <f t="shared" si="926"/>
        <v>1012.736</v>
      </c>
      <c r="CE137" s="264">
        <f t="shared" si="926"/>
        <v>2463.99</v>
      </c>
      <c r="CF137" s="265">
        <f t="shared" si="926"/>
        <v>700.325</v>
      </c>
      <c r="CG137" s="265">
        <f t="shared" si="926"/>
        <v>842.686</v>
      </c>
      <c r="CH137" s="265">
        <f t="shared" si="926"/>
        <v>829.393</v>
      </c>
      <c r="CI137" s="265">
        <f t="shared" si="926"/>
        <v>1236.161</v>
      </c>
      <c r="CJ137" s="264">
        <f t="shared" si="926"/>
        <v>3608.565</v>
      </c>
      <c r="CK137" s="265">
        <f t="shared" si="926"/>
        <v>870.393</v>
      </c>
      <c r="CL137" s="265">
        <f t="shared" si="926"/>
        <v>1055.476</v>
      </c>
      <c r="CM137" s="265">
        <f t="shared" si="926"/>
        <v>1038.852</v>
      </c>
      <c r="CN137" s="265">
        <f t="shared" si="926"/>
        <v>1590.547</v>
      </c>
      <c r="CO137" s="264">
        <f t="shared" si="926"/>
        <v>4555.268</v>
      </c>
      <c r="CP137" s="265">
        <f t="shared" si="926"/>
        <v>1150.805</v>
      </c>
      <c r="CQ137" s="265">
        <f t="shared" si="926"/>
        <v>1298.511</v>
      </c>
      <c r="CR137" s="265">
        <f t="shared" si="926"/>
        <v>1280.373</v>
      </c>
      <c r="CS137" s="265">
        <f t="shared" si="926"/>
        <v>1903.425</v>
      </c>
      <c r="CT137" s="264">
        <f t="shared" si="926"/>
        <v>5633.114</v>
      </c>
      <c r="CU137" s="265"/>
      <c r="CV137" s="265"/>
      <c r="CW137" s="265"/>
      <c r="CX137" s="265"/>
      <c r="CY137" s="264"/>
      <c r="CZ137" s="265"/>
      <c r="DA137" s="265"/>
      <c r="DB137" s="265"/>
      <c r="DC137" s="265"/>
      <c r="DD137" s="264"/>
      <c r="DE137" s="265"/>
      <c r="DF137" s="265"/>
      <c r="DG137" s="265"/>
      <c r="DH137" s="265"/>
      <c r="DI137" s="264"/>
      <c r="DJ137" s="265"/>
      <c r="DK137" s="265"/>
      <c r="DL137" s="265"/>
      <c r="DM137" s="265"/>
      <c r="DN137" s="264"/>
      <c r="DO137" s="265"/>
      <c r="DP137" s="265"/>
      <c r="DQ137" s="265"/>
      <c r="DR137" s="265"/>
      <c r="DS137" s="264"/>
    </row>
    <row r="138" hidden="1" outlineLevel="1" spans="2:123">
      <c r="B138" s="149" t="s">
        <v>69</v>
      </c>
      <c r="C138" s="252"/>
      <c r="D138" s="253"/>
      <c r="E138" s="253"/>
      <c r="F138" s="253"/>
      <c r="G138" s="253"/>
      <c r="H138" s="254">
        <f t="shared" ref="H138:AM138" si="927">H137/C137-1</f>
        <v>1.01643641143608</v>
      </c>
      <c r="I138" s="255">
        <f t="shared" si="927"/>
        <v>0.956082446450223</v>
      </c>
      <c r="J138" s="255">
        <f t="shared" si="927"/>
        <v>0.731253537992598</v>
      </c>
      <c r="K138" s="255">
        <f t="shared" si="927"/>
        <v>0.806981197570148</v>
      </c>
      <c r="L138" s="255">
        <f t="shared" si="927"/>
        <v>0.679065673969729</v>
      </c>
      <c r="M138" s="254">
        <f t="shared" si="927"/>
        <v>0.768986866117317</v>
      </c>
      <c r="N138" s="255">
        <f t="shared" si="927"/>
        <v>0.557223691460055</v>
      </c>
      <c r="O138" s="255">
        <f t="shared" si="927"/>
        <v>0.9648052809182</v>
      </c>
      <c r="P138" s="255">
        <f t="shared" si="927"/>
        <v>0.914622905345417</v>
      </c>
      <c r="Q138" s="255">
        <f t="shared" si="927"/>
        <v>1.10916147507898</v>
      </c>
      <c r="R138" s="254">
        <f t="shared" si="927"/>
        <v>0.925491409631383</v>
      </c>
      <c r="S138" s="255">
        <f t="shared" si="927"/>
        <v>0.836392670646106</v>
      </c>
      <c r="T138" s="255">
        <f t="shared" si="927"/>
        <v>0.420185562218408</v>
      </c>
      <c r="U138" s="255">
        <f t="shared" si="927"/>
        <v>0.167588311396578</v>
      </c>
      <c r="V138" s="255">
        <f t="shared" si="927"/>
        <v>-0.0866977204763586</v>
      </c>
      <c r="W138" s="254">
        <f t="shared" si="927"/>
        <v>0.226587506200268</v>
      </c>
      <c r="X138" s="255">
        <f t="shared" si="927"/>
        <v>-0.158311130294299</v>
      </c>
      <c r="Y138" s="255">
        <f t="shared" si="927"/>
        <v>0.0177489751582853</v>
      </c>
      <c r="Z138" s="255">
        <f t="shared" si="927"/>
        <v>0.344789064113651</v>
      </c>
      <c r="AA138" s="255">
        <f t="shared" si="927"/>
        <v>0.6755710414247</v>
      </c>
      <c r="AB138" s="254">
        <f t="shared" si="927"/>
        <v>0.242730711314616</v>
      </c>
      <c r="AC138" s="255">
        <f t="shared" si="927"/>
        <v>1.12758591089874</v>
      </c>
      <c r="AD138" s="255">
        <f t="shared" si="927"/>
        <v>0.777920467629085</v>
      </c>
      <c r="AE138" s="255">
        <f t="shared" si="927"/>
        <v>0.71876885938443</v>
      </c>
      <c r="AF138" s="255">
        <f t="shared" si="927"/>
        <v>0.657347504621072</v>
      </c>
      <c r="AG138" s="254">
        <f t="shared" si="927"/>
        <v>0.770975422736995</v>
      </c>
      <c r="AH138" s="255">
        <f t="shared" si="927"/>
        <v>0.475678147316325</v>
      </c>
      <c r="AI138" s="255">
        <f t="shared" si="927"/>
        <v>0.520174848688635</v>
      </c>
      <c r="AJ138" s="255">
        <f t="shared" si="927"/>
        <v>0.32717490085922</v>
      </c>
      <c r="AK138" s="255">
        <f t="shared" si="927"/>
        <v>0.456977554719085</v>
      </c>
      <c r="AL138" s="254">
        <f t="shared" si="927"/>
        <v>0.441522533403216</v>
      </c>
      <c r="AM138" s="255">
        <f t="shared" si="927"/>
        <v>0.433229742907397</v>
      </c>
      <c r="AN138" s="255">
        <f t="shared" ref="AN138:BS138" si="928">AN137/AI137-1</f>
        <v>0.275979584982018</v>
      </c>
      <c r="AO138" s="255">
        <f t="shared" si="928"/>
        <v>0.364064335903761</v>
      </c>
      <c r="AP138" s="255">
        <f t="shared" si="928"/>
        <v>0.313489747294492</v>
      </c>
      <c r="AQ138" s="254">
        <f t="shared" si="928"/>
        <v>0.339941158389321</v>
      </c>
      <c r="AR138" s="255">
        <f t="shared" si="928"/>
        <v>0.0855949231864894</v>
      </c>
      <c r="AS138" s="255">
        <f t="shared" si="928"/>
        <v>0.193894257006196</v>
      </c>
      <c r="AT138" s="255">
        <f t="shared" si="928"/>
        <v>0.167176269252709</v>
      </c>
      <c r="AU138" s="255">
        <f t="shared" si="928"/>
        <v>0.0154693436000917</v>
      </c>
      <c r="AV138" s="254">
        <f t="shared" si="928"/>
        <v>0.101216209484809</v>
      </c>
      <c r="AW138" s="255">
        <f t="shared" si="928"/>
        <v>0.14654561429199</v>
      </c>
      <c r="AX138" s="255">
        <f t="shared" si="928"/>
        <v>0.0611492027641098</v>
      </c>
      <c r="AY138" s="255">
        <f t="shared" si="928"/>
        <v>0.0316804003792654</v>
      </c>
      <c r="AZ138" s="255">
        <f t="shared" si="928"/>
        <v>0.112016212920118</v>
      </c>
      <c r="BA138" s="254">
        <f t="shared" si="928"/>
        <v>0.0882074955123109</v>
      </c>
      <c r="BB138" s="255">
        <f t="shared" si="928"/>
        <v>0.0517665931011937</v>
      </c>
      <c r="BC138" s="255">
        <f t="shared" si="928"/>
        <v>0.0744909439202133</v>
      </c>
      <c r="BD138" s="255">
        <f t="shared" si="928"/>
        <v>0.0649444781323432</v>
      </c>
      <c r="BE138" s="255">
        <f t="shared" si="928"/>
        <v>0.143371857853874</v>
      </c>
      <c r="BF138" s="254">
        <f t="shared" si="928"/>
        <v>0.090780013060928</v>
      </c>
      <c r="BG138" s="255">
        <f t="shared" si="928"/>
        <v>0.161523628185761</v>
      </c>
      <c r="BH138" s="255">
        <f t="shared" si="928"/>
        <v>0.19873128168848</v>
      </c>
      <c r="BI138" s="255">
        <f t="shared" si="928"/>
        <v>0.238566350974435</v>
      </c>
      <c r="BJ138" s="255">
        <f t="shared" si="928"/>
        <v>0.207161738610364</v>
      </c>
      <c r="BK138" s="254">
        <f t="shared" si="928"/>
        <v>0.203026376751715</v>
      </c>
      <c r="BL138" s="255">
        <f t="shared" si="928"/>
        <v>0.0969468617619633</v>
      </c>
      <c r="BM138" s="255">
        <f t="shared" si="928"/>
        <v>0.179040057286524</v>
      </c>
      <c r="BN138" s="255">
        <f t="shared" si="928"/>
        <v>0.160653099926013</v>
      </c>
      <c r="BO138" s="255">
        <f t="shared" si="928"/>
        <v>0.220722647166739</v>
      </c>
      <c r="BP138" s="254">
        <f t="shared" si="928"/>
        <v>0.173276137300488</v>
      </c>
      <c r="BQ138" s="255">
        <f t="shared" si="928"/>
        <v>0.314024413489177</v>
      </c>
      <c r="BR138" s="255">
        <f t="shared" si="928"/>
        <v>0.322118625402948</v>
      </c>
      <c r="BS138" s="255">
        <f t="shared" si="928"/>
        <v>0.2587635692978</v>
      </c>
      <c r="BT138" s="255">
        <f t="shared" ref="BT138:CT138" si="929">BT137/BO137-1</f>
        <v>0.280050005168987</v>
      </c>
      <c r="BU138" s="254">
        <f t="shared" si="929"/>
        <v>0.290451316606535</v>
      </c>
      <c r="BV138" s="255">
        <f t="shared" si="929"/>
        <v>0.22348681557471</v>
      </c>
      <c r="BW138" s="255">
        <f t="shared" si="929"/>
        <v>0.226156882739264</v>
      </c>
      <c r="BX138" s="255">
        <f t="shared" si="929"/>
        <v>0.241481204689547</v>
      </c>
      <c r="BY138" s="255">
        <f t="shared" si="929"/>
        <v>0.21268296768462</v>
      </c>
      <c r="BZ138" s="254">
        <f t="shared" si="929"/>
        <v>0.224122068814014</v>
      </c>
      <c r="CA138" s="255">
        <f t="shared" si="929"/>
        <v>-0.207052072465143</v>
      </c>
      <c r="CB138" s="255">
        <f t="shared" si="929"/>
        <v>0.00762048267173876</v>
      </c>
      <c r="CC138" s="255">
        <f t="shared" si="929"/>
        <v>0.242270388866667</v>
      </c>
      <c r="CD138" s="255">
        <f t="shared" si="929"/>
        <v>0.249003804719826</v>
      </c>
      <c r="CE138" s="254">
        <f t="shared" si="929"/>
        <v>0.108229582563664</v>
      </c>
      <c r="CF138" s="255">
        <f t="shared" si="929"/>
        <v>1.0942607998756</v>
      </c>
      <c r="CG138" s="255">
        <f t="shared" si="929"/>
        <v>0.721531037920482</v>
      </c>
      <c r="CH138" s="255">
        <f t="shared" si="929"/>
        <v>0.32204943301549</v>
      </c>
      <c r="CI138" s="255">
        <f t="shared" si="929"/>
        <v>0.220615244249242</v>
      </c>
      <c r="CJ138" s="254">
        <f t="shared" si="929"/>
        <v>0.464520959906494</v>
      </c>
      <c r="CK138" s="255">
        <f t="shared" si="929"/>
        <v>0.242841537857423</v>
      </c>
      <c r="CL138" s="255">
        <f t="shared" si="929"/>
        <v>0.252513985043065</v>
      </c>
      <c r="CM138" s="255">
        <f t="shared" si="929"/>
        <v>0.252544933463389</v>
      </c>
      <c r="CN138" s="255">
        <f t="shared" si="929"/>
        <v>0.286682721749028</v>
      </c>
      <c r="CO138" s="254">
        <f t="shared" si="929"/>
        <v>0.262348883836095</v>
      </c>
      <c r="CP138" s="255">
        <f t="shared" si="929"/>
        <v>0.322167113016764</v>
      </c>
      <c r="CQ138" s="255">
        <f t="shared" si="929"/>
        <v>0.230261038621437</v>
      </c>
      <c r="CR138" s="255">
        <f t="shared" si="929"/>
        <v>0.232488362153608</v>
      </c>
      <c r="CS138" s="255">
        <f t="shared" si="929"/>
        <v>0.196710942839162</v>
      </c>
      <c r="CT138" s="254">
        <f t="shared" si="929"/>
        <v>0.236615277081392</v>
      </c>
      <c r="CU138" s="255"/>
      <c r="CV138" s="255"/>
      <c r="CW138" s="255"/>
      <c r="CX138" s="255"/>
      <c r="CY138" s="254"/>
      <c r="CZ138" s="255"/>
      <c r="DA138" s="255"/>
      <c r="DB138" s="255"/>
      <c r="DC138" s="255"/>
      <c r="DD138" s="254"/>
      <c r="DE138" s="255"/>
      <c r="DF138" s="255"/>
      <c r="DG138" s="255"/>
      <c r="DH138" s="255"/>
      <c r="DI138" s="254"/>
      <c r="DJ138" s="255"/>
      <c r="DK138" s="255"/>
      <c r="DL138" s="255"/>
      <c r="DM138" s="255"/>
      <c r="DN138" s="254"/>
      <c r="DO138" s="255"/>
      <c r="DP138" s="255"/>
      <c r="DQ138" s="255"/>
      <c r="DR138" s="255"/>
      <c r="DS138" s="254"/>
    </row>
    <row r="139" hidden="1" outlineLevel="1" spans="2:123">
      <c r="B139" s="262" t="s">
        <v>72</v>
      </c>
      <c r="C139" s="254">
        <f t="shared" ref="C139:AH139" si="930">C137/C$13</f>
        <v>0.522736754276178</v>
      </c>
      <c r="D139" s="255">
        <f t="shared" si="930"/>
        <v>0.474920025591811</v>
      </c>
      <c r="E139" s="255">
        <f t="shared" si="930"/>
        <v>0.53637743781385</v>
      </c>
      <c r="F139" s="255">
        <f t="shared" si="930"/>
        <v>0.51896517213771</v>
      </c>
      <c r="G139" s="255">
        <f t="shared" si="930"/>
        <v>0.508842737188998</v>
      </c>
      <c r="H139" s="254">
        <f t="shared" si="930"/>
        <v>0.510550042421116</v>
      </c>
      <c r="I139" s="255">
        <f t="shared" si="930"/>
        <v>0.51518592108998</v>
      </c>
      <c r="J139" s="255">
        <f t="shared" si="930"/>
        <v>0.489069756635494</v>
      </c>
      <c r="K139" s="255">
        <f t="shared" si="930"/>
        <v>0.521029876459699</v>
      </c>
      <c r="L139" s="255">
        <f t="shared" si="930"/>
        <v>0.51360381809469</v>
      </c>
      <c r="M139" s="254">
        <f t="shared" si="930"/>
        <v>0.510338897244564</v>
      </c>
      <c r="N139" s="255">
        <f t="shared" si="930"/>
        <v>0.504826135865548</v>
      </c>
      <c r="O139" s="255">
        <f t="shared" si="930"/>
        <v>0.532487650505418</v>
      </c>
      <c r="P139" s="255">
        <f t="shared" si="930"/>
        <v>0.542407681418733</v>
      </c>
      <c r="Q139" s="255">
        <f t="shared" si="930"/>
        <v>0.538229534381891</v>
      </c>
      <c r="R139" s="254">
        <f t="shared" si="930"/>
        <v>0.532562995997049</v>
      </c>
      <c r="S139" s="255">
        <f t="shared" si="930"/>
        <v>0.531198671918534</v>
      </c>
      <c r="T139" s="255">
        <f t="shared" si="930"/>
        <v>0.519117603724374</v>
      </c>
      <c r="U139" s="255">
        <f t="shared" si="930"/>
        <v>0.481274415292359</v>
      </c>
      <c r="V139" s="255">
        <f t="shared" si="930"/>
        <v>0.497108380404346</v>
      </c>
      <c r="W139" s="254">
        <f t="shared" si="930"/>
        <v>0.506041587880421</v>
      </c>
      <c r="X139" s="255">
        <f t="shared" si="930"/>
        <v>0.42787708129285</v>
      </c>
      <c r="Y139" s="255">
        <f t="shared" si="930"/>
        <v>0.462172920866549</v>
      </c>
      <c r="Z139" s="255">
        <f t="shared" si="930"/>
        <v>0.499047754028222</v>
      </c>
      <c r="AA139" s="255">
        <f t="shared" si="930"/>
        <v>0.538958693946677</v>
      </c>
      <c r="AB139" s="254">
        <f t="shared" si="930"/>
        <v>0.492408886769206</v>
      </c>
      <c r="AC139" s="255">
        <f t="shared" si="930"/>
        <v>0.537661699096871</v>
      </c>
      <c r="AD139" s="255">
        <f t="shared" si="930"/>
        <v>0.527554399243141</v>
      </c>
      <c r="AE139" s="255">
        <f t="shared" si="930"/>
        <v>0.550807736063709</v>
      </c>
      <c r="AF139" s="255">
        <f t="shared" si="930"/>
        <v>0.584598959245963</v>
      </c>
      <c r="AG139" s="254">
        <f t="shared" si="930"/>
        <v>0.554931544574711</v>
      </c>
      <c r="AH139" s="255">
        <f t="shared" si="930"/>
        <v>0.587466538173252</v>
      </c>
      <c r="AI139" s="255">
        <f t="shared" ref="AI139:BN139" si="931">AI137/AI$13</f>
        <v>0.574911808894938</v>
      </c>
      <c r="AJ139" s="255">
        <f t="shared" si="931"/>
        <v>0.558227925079056</v>
      </c>
      <c r="AK139" s="255">
        <f t="shared" si="931"/>
        <v>0.562602282515073</v>
      </c>
      <c r="AL139" s="254">
        <f t="shared" si="931"/>
        <v>0.568847736748868</v>
      </c>
      <c r="AM139" s="255">
        <f t="shared" si="931"/>
        <v>0.550455375956429</v>
      </c>
      <c r="AN139" s="255">
        <f t="shared" si="931"/>
        <v>0.551083733733379</v>
      </c>
      <c r="AO139" s="255">
        <f t="shared" si="931"/>
        <v>0.553805716235385</v>
      </c>
      <c r="AP139" s="255">
        <f t="shared" si="931"/>
        <v>0.565455949745121</v>
      </c>
      <c r="AQ139" s="254">
        <f t="shared" si="931"/>
        <v>0.55667348222482</v>
      </c>
      <c r="AR139" s="255">
        <f t="shared" si="931"/>
        <v>0.493735937671712</v>
      </c>
      <c r="AS139" s="255">
        <f t="shared" si="931"/>
        <v>0.539761924803999</v>
      </c>
      <c r="AT139" s="255">
        <f t="shared" si="931"/>
        <v>0.538578573308765</v>
      </c>
      <c r="AU139" s="255">
        <f t="shared" si="931"/>
        <v>0.535112755833572</v>
      </c>
      <c r="AV139" s="254">
        <f t="shared" si="931"/>
        <v>0.527955213337456</v>
      </c>
      <c r="AW139" s="255">
        <f t="shared" si="931"/>
        <v>0.508930939269613</v>
      </c>
      <c r="AX139" s="255">
        <f t="shared" si="931"/>
        <v>0.505022688475585</v>
      </c>
      <c r="AY139" s="255">
        <f t="shared" si="931"/>
        <v>0.503314290074297</v>
      </c>
      <c r="AZ139" s="255">
        <f t="shared" si="931"/>
        <v>0.514580833204696</v>
      </c>
      <c r="BA139" s="254">
        <f t="shared" si="931"/>
        <v>0.508664541149893</v>
      </c>
      <c r="BB139" s="255">
        <f t="shared" si="931"/>
        <v>0.486081729407098</v>
      </c>
      <c r="BC139" s="255">
        <f t="shared" si="931"/>
        <v>0.468036025694797</v>
      </c>
      <c r="BD139" s="255">
        <f t="shared" si="931"/>
        <v>0.46862680923007</v>
      </c>
      <c r="BE139" s="255">
        <f t="shared" si="931"/>
        <v>0.503306942164719</v>
      </c>
      <c r="BF139" s="254">
        <f t="shared" si="931"/>
        <v>0.483938301101225</v>
      </c>
      <c r="BG139" s="255">
        <f t="shared" si="931"/>
        <v>0.482589865917549</v>
      </c>
      <c r="BH139" s="255">
        <f t="shared" si="931"/>
        <v>0.493976910518542</v>
      </c>
      <c r="BI139" s="255">
        <f t="shared" si="931"/>
        <v>0.511421413037089</v>
      </c>
      <c r="BJ139" s="255">
        <f t="shared" si="931"/>
        <v>0.541685444464136</v>
      </c>
      <c r="BK139" s="254">
        <f t="shared" si="931"/>
        <v>0.511696422782538</v>
      </c>
      <c r="BL139" s="255">
        <f t="shared" si="931"/>
        <v>0.504152356205087</v>
      </c>
      <c r="BM139" s="255">
        <f t="shared" si="931"/>
        <v>0.515728314407955</v>
      </c>
      <c r="BN139" s="255">
        <f t="shared" si="931"/>
        <v>0.522032715488972</v>
      </c>
      <c r="BO139" s="255">
        <f t="shared" ref="BO139:CI139" si="932">BO137/BO$13</f>
        <v>0.562400137815198</v>
      </c>
      <c r="BP139" s="254">
        <f t="shared" si="932"/>
        <v>0.531290684835845</v>
      </c>
      <c r="BQ139" s="255">
        <f t="shared" si="932"/>
        <v>0.530565218729797</v>
      </c>
      <c r="BR139" s="255">
        <f t="shared" si="932"/>
        <v>0.547607463718037</v>
      </c>
      <c r="BS139" s="255">
        <f t="shared" si="932"/>
        <v>0.54407046030589</v>
      </c>
      <c r="BT139" s="255">
        <f t="shared" si="932"/>
        <v>0.572699536789596</v>
      </c>
      <c r="BU139" s="254">
        <f t="shared" si="932"/>
        <v>0.552345134398457</v>
      </c>
      <c r="BV139" s="255">
        <f t="shared" si="932"/>
        <v>0.539066744214287</v>
      </c>
      <c r="BW139" s="255">
        <f t="shared" si="932"/>
        <v>0.549946114346263</v>
      </c>
      <c r="BX139" s="255">
        <f t="shared" si="932"/>
        <v>0.551256413055343</v>
      </c>
      <c r="BY139" s="255">
        <f t="shared" si="932"/>
        <v>0.580203935599285</v>
      </c>
      <c r="BZ139" s="254">
        <f t="shared" si="932"/>
        <v>0.558735314820544</v>
      </c>
      <c r="CA139" s="255">
        <f t="shared" si="932"/>
        <v>0.512916396967921</v>
      </c>
      <c r="CB139" s="255">
        <f t="shared" si="932"/>
        <v>0.542116355589913</v>
      </c>
      <c r="CC139" s="255">
        <f t="shared" si="932"/>
        <v>0.56142778134749</v>
      </c>
      <c r="CD139" s="255">
        <f t="shared" si="932"/>
        <v>0.585548165073961</v>
      </c>
      <c r="CE139" s="254">
        <f t="shared" si="932"/>
        <v>0.559758684870711</v>
      </c>
      <c r="CF139" s="255">
        <f t="shared" si="932"/>
        <v>0.57100587373907</v>
      </c>
      <c r="CG139" s="255">
        <f t="shared" si="932"/>
        <v>0.580915168569534</v>
      </c>
      <c r="CH139" s="255">
        <f t="shared" si="932"/>
        <v>0.571829144779343</v>
      </c>
      <c r="CI139" s="255">
        <f t="shared" si="932"/>
        <v>0.58060205664172</v>
      </c>
      <c r="CJ139" s="254">
        <f t="shared" ref="CJ139:CO139" si="933">CJ137/CJ$13</f>
        <v>0.576759772893243</v>
      </c>
      <c r="CK139" s="255">
        <f t="shared" si="933"/>
        <v>0.539456436249235</v>
      </c>
      <c r="CL139" s="255">
        <f t="shared" si="933"/>
        <v>0.564930783031673</v>
      </c>
      <c r="CM139" s="255">
        <f t="shared" si="933"/>
        <v>0.559458319802638</v>
      </c>
      <c r="CN139" s="255">
        <f t="shared" si="933"/>
        <v>0.573823939205682</v>
      </c>
      <c r="CO139" s="254">
        <f t="shared" si="933"/>
        <v>0.561649453216182</v>
      </c>
      <c r="CP139" s="255">
        <f t="shared" ref="CP139:CT139" si="934">CP137/CP$13</f>
        <v>0.575174730806601</v>
      </c>
      <c r="CQ139" s="255">
        <f t="shared" si="934"/>
        <v>0.587783619602882</v>
      </c>
      <c r="CR139" s="255">
        <f t="shared" si="934"/>
        <v>0.580874033330642</v>
      </c>
      <c r="CS139" s="255">
        <f t="shared" si="934"/>
        <v>0.593873270219397</v>
      </c>
      <c r="CT139" s="254">
        <f t="shared" si="934"/>
        <v>0.585606736804987</v>
      </c>
      <c r="CU139" s="255"/>
      <c r="CV139" s="255"/>
      <c r="CW139" s="255"/>
      <c r="CX139" s="255"/>
      <c r="CY139" s="254"/>
      <c r="CZ139" s="255"/>
      <c r="DA139" s="255"/>
      <c r="DB139" s="255"/>
      <c r="DC139" s="255"/>
      <c r="DD139" s="254"/>
      <c r="DE139" s="255"/>
      <c r="DF139" s="255"/>
      <c r="DG139" s="255"/>
      <c r="DH139" s="255"/>
      <c r="DI139" s="254"/>
      <c r="DJ139" s="255"/>
      <c r="DK139" s="255"/>
      <c r="DL139" s="255"/>
      <c r="DM139" s="255"/>
      <c r="DN139" s="254"/>
      <c r="DO139" s="255"/>
      <c r="DP139" s="255"/>
      <c r="DQ139" s="255"/>
      <c r="DR139" s="255"/>
      <c r="DS139" s="254"/>
    </row>
    <row r="140" hidden="1" outlineLevel="1" spans="2:123">
      <c r="B140" s="256" t="s">
        <v>73</v>
      </c>
      <c r="C140" s="246"/>
      <c r="D140" s="247"/>
      <c r="E140" s="247"/>
      <c r="F140" s="247"/>
      <c r="G140" s="247"/>
      <c r="H140" s="259">
        <f t="shared" ref="H140:AM140" si="935">(H139-C139)*100*100</f>
        <v>-121.867118550626</v>
      </c>
      <c r="I140" s="260">
        <f t="shared" si="935"/>
        <v>402.658954981697</v>
      </c>
      <c r="J140" s="260">
        <f t="shared" si="935"/>
        <v>-473.076811783565</v>
      </c>
      <c r="K140" s="260">
        <f t="shared" si="935"/>
        <v>20.6470432198846</v>
      </c>
      <c r="L140" s="260">
        <f t="shared" si="935"/>
        <v>47.6108090569272</v>
      </c>
      <c r="M140" s="259">
        <f t="shared" si="935"/>
        <v>-2.1114517655163</v>
      </c>
      <c r="N140" s="260">
        <f t="shared" si="935"/>
        <v>-103.597852244318</v>
      </c>
      <c r="O140" s="260">
        <f t="shared" si="935"/>
        <v>434.178938699242</v>
      </c>
      <c r="P140" s="260">
        <f t="shared" si="935"/>
        <v>213.778049590346</v>
      </c>
      <c r="Q140" s="260">
        <f t="shared" si="935"/>
        <v>246.257162872009</v>
      </c>
      <c r="R140" s="259">
        <f t="shared" si="935"/>
        <v>222.240987524845</v>
      </c>
      <c r="S140" s="260">
        <f t="shared" si="935"/>
        <v>263.72536052986</v>
      </c>
      <c r="T140" s="260">
        <f t="shared" si="935"/>
        <v>-133.700467810441</v>
      </c>
      <c r="U140" s="260">
        <f t="shared" si="935"/>
        <v>-611.332661263747</v>
      </c>
      <c r="V140" s="260">
        <f t="shared" si="935"/>
        <v>-411.211539775456</v>
      </c>
      <c r="W140" s="259">
        <f t="shared" si="935"/>
        <v>-265.214081166275</v>
      </c>
      <c r="X140" s="260">
        <f t="shared" si="935"/>
        <v>-1033.21590625684</v>
      </c>
      <c r="Y140" s="260">
        <f t="shared" si="935"/>
        <v>-569.446828578251</v>
      </c>
      <c r="Z140" s="260">
        <f t="shared" si="935"/>
        <v>177.733387358634</v>
      </c>
      <c r="AA140" s="260">
        <f t="shared" si="935"/>
        <v>418.503135423313</v>
      </c>
      <c r="AB140" s="259">
        <f t="shared" si="935"/>
        <v>-136.32701111215</v>
      </c>
      <c r="AC140" s="260">
        <f t="shared" si="935"/>
        <v>1097.84617804021</v>
      </c>
      <c r="AD140" s="260">
        <f t="shared" si="935"/>
        <v>653.814783765923</v>
      </c>
      <c r="AE140" s="260">
        <f t="shared" si="935"/>
        <v>517.599820354869</v>
      </c>
      <c r="AF140" s="260">
        <f t="shared" si="935"/>
        <v>456.402652992858</v>
      </c>
      <c r="AG140" s="259">
        <f t="shared" si="935"/>
        <v>625.226578055046</v>
      </c>
      <c r="AH140" s="260">
        <f t="shared" si="935"/>
        <v>498.048390763808</v>
      </c>
      <c r="AI140" s="260">
        <f t="shared" si="935"/>
        <v>473.574096517975</v>
      </c>
      <c r="AJ140" s="260">
        <f t="shared" si="935"/>
        <v>74.2018901534736</v>
      </c>
      <c r="AK140" s="260">
        <f t="shared" si="935"/>
        <v>-219.966767308896</v>
      </c>
      <c r="AL140" s="259">
        <f t="shared" si="935"/>
        <v>139.161921741567</v>
      </c>
      <c r="AM140" s="260">
        <f t="shared" si="935"/>
        <v>-370.111622168225</v>
      </c>
      <c r="AN140" s="260">
        <f t="shared" ref="AN140:BS140" si="936">(AN139-AI139)*100*100</f>
        <v>-238.280751615589</v>
      </c>
      <c r="AO140" s="260">
        <f t="shared" si="936"/>
        <v>-44.2220884367128</v>
      </c>
      <c r="AP140" s="260">
        <f t="shared" si="936"/>
        <v>28.5366723004821</v>
      </c>
      <c r="AQ140" s="259">
        <f t="shared" si="936"/>
        <v>-121.742545240476</v>
      </c>
      <c r="AR140" s="260">
        <f t="shared" si="936"/>
        <v>-567.194382847171</v>
      </c>
      <c r="AS140" s="260">
        <f t="shared" si="936"/>
        <v>-113.218089293808</v>
      </c>
      <c r="AT140" s="260">
        <f t="shared" si="936"/>
        <v>-152.271429266194</v>
      </c>
      <c r="AU140" s="260">
        <f t="shared" si="936"/>
        <v>-303.431939115496</v>
      </c>
      <c r="AV140" s="259">
        <f t="shared" si="936"/>
        <v>-287.18268887364</v>
      </c>
      <c r="AW140" s="260">
        <f t="shared" si="936"/>
        <v>151.950015979007</v>
      </c>
      <c r="AX140" s="260">
        <f t="shared" si="936"/>
        <v>-347.392363284134</v>
      </c>
      <c r="AY140" s="260">
        <f t="shared" si="936"/>
        <v>-352.642832344682</v>
      </c>
      <c r="AZ140" s="260">
        <f t="shared" si="936"/>
        <v>-205.319226288759</v>
      </c>
      <c r="BA140" s="259">
        <f t="shared" si="936"/>
        <v>-192.906721875626</v>
      </c>
      <c r="BB140" s="260">
        <f t="shared" si="936"/>
        <v>-228.492098625147</v>
      </c>
      <c r="BC140" s="260">
        <f t="shared" si="936"/>
        <v>-369.866627807882</v>
      </c>
      <c r="BD140" s="260">
        <f t="shared" si="936"/>
        <v>-346.874808442272</v>
      </c>
      <c r="BE140" s="260">
        <f t="shared" si="936"/>
        <v>-112.738910399763</v>
      </c>
      <c r="BF140" s="259">
        <f t="shared" si="936"/>
        <v>-247.262400486681</v>
      </c>
      <c r="BG140" s="260">
        <f t="shared" si="936"/>
        <v>-34.9186348954972</v>
      </c>
      <c r="BH140" s="260">
        <f t="shared" si="936"/>
        <v>259.408848237445</v>
      </c>
      <c r="BI140" s="260">
        <f t="shared" si="936"/>
        <v>427.946038070193</v>
      </c>
      <c r="BJ140" s="260">
        <f t="shared" si="936"/>
        <v>383.78502299417</v>
      </c>
      <c r="BK140" s="259">
        <f t="shared" si="936"/>
        <v>277.581216813129</v>
      </c>
      <c r="BL140" s="260">
        <f t="shared" si="936"/>
        <v>215.62490287538</v>
      </c>
      <c r="BM140" s="260">
        <f t="shared" si="936"/>
        <v>217.514038894137</v>
      </c>
      <c r="BN140" s="260">
        <f t="shared" si="936"/>
        <v>106.113024518824</v>
      </c>
      <c r="BO140" s="260">
        <f t="shared" si="936"/>
        <v>207.14693351062</v>
      </c>
      <c r="BP140" s="259">
        <f t="shared" si="936"/>
        <v>195.942620533069</v>
      </c>
      <c r="BQ140" s="260">
        <f t="shared" si="936"/>
        <v>264.128625247105</v>
      </c>
      <c r="BR140" s="260">
        <f t="shared" si="936"/>
        <v>318.791493100821</v>
      </c>
      <c r="BS140" s="260">
        <f t="shared" si="936"/>
        <v>220.377448169181</v>
      </c>
      <c r="BT140" s="260">
        <f t="shared" ref="BT140:CT140" si="937">(BT139-BO139)*100*100</f>
        <v>102.99398974397</v>
      </c>
      <c r="BU140" s="259">
        <f t="shared" si="937"/>
        <v>210.544495626119</v>
      </c>
      <c r="BV140" s="260">
        <f t="shared" si="937"/>
        <v>85.0152548449001</v>
      </c>
      <c r="BW140" s="260">
        <f t="shared" si="937"/>
        <v>23.3865062822547</v>
      </c>
      <c r="BX140" s="260">
        <f t="shared" si="937"/>
        <v>71.8595274945355</v>
      </c>
      <c r="BY140" s="260">
        <f t="shared" si="937"/>
        <v>75.0439880968901</v>
      </c>
      <c r="BZ140" s="259">
        <f t="shared" si="937"/>
        <v>63.9018042208639</v>
      </c>
      <c r="CA140" s="260">
        <f t="shared" si="937"/>
        <v>-261.503472463657</v>
      </c>
      <c r="CB140" s="260">
        <f t="shared" si="937"/>
        <v>-78.2975875635028</v>
      </c>
      <c r="CC140" s="260">
        <f t="shared" si="937"/>
        <v>101.713682921463</v>
      </c>
      <c r="CD140" s="260">
        <f t="shared" si="937"/>
        <v>53.4422947467683</v>
      </c>
      <c r="CE140" s="259">
        <f t="shared" si="937"/>
        <v>10.2337005016739</v>
      </c>
      <c r="CF140" s="260">
        <f t="shared" si="937"/>
        <v>580.894767711488</v>
      </c>
      <c r="CG140" s="260">
        <f t="shared" si="937"/>
        <v>387.988129796212</v>
      </c>
      <c r="CH140" s="260">
        <f t="shared" si="937"/>
        <v>104.013634318537</v>
      </c>
      <c r="CI140" s="260">
        <f t="shared" si="937"/>
        <v>-49.4610843224097</v>
      </c>
      <c r="CJ140" s="259">
        <f t="shared" si="937"/>
        <v>170.010880225316</v>
      </c>
      <c r="CK140" s="260">
        <f t="shared" si="937"/>
        <v>-315.49437489835</v>
      </c>
      <c r="CL140" s="260">
        <f t="shared" si="937"/>
        <v>-159.843855378604</v>
      </c>
      <c r="CM140" s="260">
        <f t="shared" si="937"/>
        <v>-123.708249767057</v>
      </c>
      <c r="CN140" s="260">
        <f t="shared" si="937"/>
        <v>-67.7811743603807</v>
      </c>
      <c r="CO140" s="259">
        <f t="shared" si="937"/>
        <v>-151.103196770608</v>
      </c>
      <c r="CP140" s="260">
        <f t="shared" si="937"/>
        <v>357.182945573652</v>
      </c>
      <c r="CQ140" s="260">
        <f t="shared" si="937"/>
        <v>228.528365712083</v>
      </c>
      <c r="CR140" s="260">
        <f t="shared" si="937"/>
        <v>214.15713528004</v>
      </c>
      <c r="CS140" s="260">
        <f t="shared" si="937"/>
        <v>200.493310137146</v>
      </c>
      <c r="CT140" s="259">
        <f t="shared" si="937"/>
        <v>239.57283588805</v>
      </c>
      <c r="CU140" s="260"/>
      <c r="CV140" s="260"/>
      <c r="CW140" s="260"/>
      <c r="CX140" s="260"/>
      <c r="CY140" s="259"/>
      <c r="CZ140" s="260"/>
      <c r="DA140" s="260"/>
      <c r="DB140" s="260"/>
      <c r="DC140" s="260"/>
      <c r="DD140" s="259"/>
      <c r="DE140" s="260"/>
      <c r="DF140" s="260"/>
      <c r="DG140" s="260"/>
      <c r="DH140" s="260"/>
      <c r="DI140" s="259"/>
      <c r="DJ140" s="260"/>
      <c r="DK140" s="260"/>
      <c r="DL140" s="260"/>
      <c r="DM140" s="260"/>
      <c r="DN140" s="259"/>
      <c r="DO140" s="260"/>
      <c r="DP140" s="260"/>
      <c r="DQ140" s="260"/>
      <c r="DR140" s="260"/>
      <c r="DS140" s="259"/>
    </row>
    <row r="141" hidden="1" outlineLevel="1" spans="2:123">
      <c r="B141" s="245"/>
      <c r="C141" s="246"/>
      <c r="D141" s="247"/>
      <c r="E141" s="247"/>
      <c r="F141" s="247"/>
      <c r="G141" s="247"/>
      <c r="H141" s="246"/>
      <c r="I141" s="247"/>
      <c r="J141" s="247"/>
      <c r="K141" s="247"/>
      <c r="L141" s="247"/>
      <c r="M141" s="246"/>
      <c r="N141" s="247"/>
      <c r="O141" s="247"/>
      <c r="P141" s="247"/>
      <c r="Q141" s="247"/>
      <c r="R141" s="246"/>
      <c r="S141" s="247"/>
      <c r="T141" s="247"/>
      <c r="U141" s="247"/>
      <c r="V141" s="247"/>
      <c r="W141" s="246"/>
      <c r="X141" s="247"/>
      <c r="Y141" s="247"/>
      <c r="Z141" s="247"/>
      <c r="AA141" s="247"/>
      <c r="AB141" s="246"/>
      <c r="AC141" s="247"/>
      <c r="AD141" s="247"/>
      <c r="AE141" s="247"/>
      <c r="AF141" s="247"/>
      <c r="AG141" s="246"/>
      <c r="AH141" s="247"/>
      <c r="AI141" s="247"/>
      <c r="AJ141" s="247"/>
      <c r="AK141" s="247"/>
      <c r="AL141" s="246"/>
      <c r="AM141" s="247"/>
      <c r="AN141" s="247"/>
      <c r="AO141" s="247"/>
      <c r="AP141" s="247"/>
      <c r="AQ141" s="246"/>
      <c r="AR141" s="247"/>
      <c r="AS141" s="247"/>
      <c r="AT141" s="247"/>
      <c r="AU141" s="247"/>
      <c r="AV141" s="246"/>
      <c r="AW141" s="247"/>
      <c r="AX141" s="247"/>
      <c r="AY141" s="247"/>
      <c r="AZ141" s="247"/>
      <c r="BA141" s="246"/>
      <c r="BB141" s="247"/>
      <c r="BC141" s="247"/>
      <c r="BD141" s="247"/>
      <c r="BE141" s="247"/>
      <c r="BF141" s="246"/>
      <c r="BG141" s="247"/>
      <c r="BH141" s="247"/>
      <c r="BI141" s="247"/>
      <c r="BJ141" s="247"/>
      <c r="BK141" s="246"/>
      <c r="BL141" s="247"/>
      <c r="BM141" s="247"/>
      <c r="BN141" s="247"/>
      <c r="BO141" s="247"/>
      <c r="BP141" s="246"/>
      <c r="BQ141" s="247"/>
      <c r="BR141" s="247"/>
      <c r="BS141" s="247"/>
      <c r="BT141" s="247"/>
      <c r="BU141" s="246"/>
      <c r="BV141" s="247"/>
      <c r="BW141" s="247"/>
      <c r="BX141" s="247"/>
      <c r="BY141" s="247"/>
      <c r="BZ141" s="246"/>
      <c r="CA141" s="247"/>
      <c r="CB141" s="247"/>
      <c r="CC141" s="247"/>
      <c r="CD141" s="247"/>
      <c r="CE141" s="246"/>
      <c r="CF141" s="247"/>
      <c r="CG141" s="247"/>
      <c r="CH141" s="247"/>
      <c r="CI141" s="247"/>
      <c r="CJ141" s="246"/>
      <c r="CK141" s="247"/>
      <c r="CL141" s="247"/>
      <c r="CM141" s="247"/>
      <c r="CN141" s="247"/>
      <c r="CO141" s="246"/>
      <c r="CP141" s="247"/>
      <c r="CQ141" s="247"/>
      <c r="CR141" s="247"/>
      <c r="CS141" s="247"/>
      <c r="CT141" s="246"/>
      <c r="CU141" s="247"/>
      <c r="CV141" s="247"/>
      <c r="CW141" s="247"/>
      <c r="CX141" s="247"/>
      <c r="CY141" s="246"/>
      <c r="CZ141" s="247"/>
      <c r="DA141" s="247"/>
      <c r="DB141" s="247"/>
      <c r="DC141" s="247"/>
      <c r="DD141" s="246"/>
      <c r="DE141" s="247"/>
      <c r="DF141" s="247"/>
      <c r="DG141" s="247"/>
      <c r="DH141" s="247"/>
      <c r="DI141" s="246"/>
      <c r="DJ141" s="247"/>
      <c r="DK141" s="247"/>
      <c r="DL141" s="247"/>
      <c r="DM141" s="247"/>
      <c r="DN141" s="246"/>
      <c r="DO141" s="247"/>
      <c r="DP141" s="247"/>
      <c r="DQ141" s="247"/>
      <c r="DR141" s="247"/>
      <c r="DS141" s="246"/>
    </row>
    <row r="142" hidden="1" outlineLevel="1" spans="2:123">
      <c r="B142" s="184" t="s">
        <v>362</v>
      </c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  <c r="BM142" s="185"/>
      <c r="BN142" s="185"/>
      <c r="BO142" s="185"/>
      <c r="BP142" s="185"/>
      <c r="BQ142" s="185"/>
      <c r="BR142" s="185"/>
      <c r="BS142" s="185"/>
      <c r="BT142" s="185"/>
      <c r="BU142" s="185"/>
      <c r="BV142" s="185"/>
      <c r="BW142" s="185"/>
      <c r="BX142" s="185"/>
      <c r="BY142" s="185"/>
      <c r="BZ142" s="185"/>
      <c r="CA142" s="185"/>
      <c r="CB142" s="185"/>
      <c r="CC142" s="185"/>
      <c r="CD142" s="185"/>
      <c r="CE142" s="185"/>
      <c r="CF142" s="185"/>
      <c r="CG142" s="185"/>
      <c r="CH142" s="185"/>
      <c r="CI142" s="185"/>
      <c r="CJ142" s="185"/>
      <c r="CK142" s="185"/>
      <c r="CL142" s="185"/>
      <c r="CM142" s="185"/>
      <c r="CN142" s="185"/>
      <c r="CO142" s="185"/>
      <c r="CP142" s="185"/>
      <c r="CQ142" s="185"/>
      <c r="CR142" s="185"/>
      <c r="CS142" s="185"/>
      <c r="CT142" s="185"/>
      <c r="CU142" s="185"/>
      <c r="CV142" s="185"/>
      <c r="CW142" s="185"/>
      <c r="CX142" s="185"/>
      <c r="CY142" s="185"/>
      <c r="CZ142" s="185"/>
      <c r="DA142" s="185"/>
      <c r="DB142" s="185"/>
      <c r="DC142" s="185"/>
      <c r="DD142" s="185"/>
      <c r="DE142" s="185"/>
      <c r="DF142" s="185"/>
      <c r="DG142" s="185"/>
      <c r="DH142" s="185"/>
      <c r="DI142" s="185"/>
      <c r="DJ142" s="185"/>
      <c r="DK142" s="185"/>
      <c r="DL142" s="185"/>
      <c r="DM142" s="185"/>
      <c r="DN142" s="185"/>
      <c r="DO142" s="185"/>
      <c r="DP142" s="185"/>
      <c r="DQ142" s="185"/>
      <c r="DR142" s="185"/>
      <c r="DS142" s="186"/>
    </row>
    <row r="143" hidden="1" outlineLevel="1" spans="2:123">
      <c r="B143" s="245"/>
      <c r="C143" s="246"/>
      <c r="D143" s="247"/>
      <c r="E143" s="247"/>
      <c r="F143" s="247"/>
      <c r="G143" s="247"/>
      <c r="H143" s="246"/>
      <c r="I143" s="247"/>
      <c r="J143" s="247"/>
      <c r="K143" s="247"/>
      <c r="L143" s="247"/>
      <c r="M143" s="246"/>
      <c r="N143" s="266"/>
      <c r="O143" s="266"/>
      <c r="P143" s="266"/>
      <c r="Q143" s="266"/>
      <c r="R143" s="267"/>
      <c r="S143" s="266"/>
      <c r="T143" s="266"/>
      <c r="U143" s="266"/>
      <c r="V143" s="266"/>
      <c r="W143" s="267"/>
      <c r="X143" s="266"/>
      <c r="Y143" s="266"/>
      <c r="Z143" s="266"/>
      <c r="AA143" s="266"/>
      <c r="AB143" s="267"/>
      <c r="AC143" s="266"/>
      <c r="AD143" s="266"/>
      <c r="AE143" s="266"/>
      <c r="AF143" s="266"/>
      <c r="AG143" s="267"/>
      <c r="AH143" s="266"/>
      <c r="AI143" s="266"/>
      <c r="AJ143" s="266"/>
      <c r="AK143" s="266"/>
      <c r="AL143" s="267"/>
      <c r="AM143" s="266"/>
      <c r="AN143" s="266"/>
      <c r="AO143" s="266"/>
      <c r="AP143" s="266"/>
      <c r="AQ143" s="267"/>
      <c r="AR143" s="266"/>
      <c r="AS143" s="266"/>
      <c r="AT143" s="266"/>
      <c r="AU143" s="266"/>
      <c r="AV143" s="267"/>
      <c r="AW143" s="266"/>
      <c r="AX143" s="266"/>
      <c r="AY143" s="266"/>
      <c r="AZ143" s="266"/>
      <c r="BA143" s="267"/>
      <c r="BB143" s="266"/>
      <c r="BC143" s="266"/>
      <c r="BD143" s="266"/>
      <c r="BE143" s="266"/>
      <c r="BF143" s="267"/>
      <c r="BG143" s="266"/>
      <c r="BH143" s="266"/>
      <c r="BI143" s="266"/>
      <c r="BJ143" s="266"/>
      <c r="BK143" s="267"/>
      <c r="BL143" s="266"/>
      <c r="BM143" s="266"/>
      <c r="BN143" s="266"/>
      <c r="BO143" s="268"/>
      <c r="BP143" s="267"/>
      <c r="BQ143" s="266"/>
      <c r="BR143" s="266"/>
      <c r="BS143" s="266"/>
      <c r="BT143" s="266"/>
      <c r="BU143" s="267"/>
      <c r="BV143" s="266"/>
      <c r="BW143" s="266"/>
      <c r="BX143" s="266"/>
      <c r="BY143" s="266"/>
      <c r="BZ143" s="267"/>
      <c r="CA143" s="266"/>
      <c r="CB143" s="266"/>
      <c r="CC143" s="266"/>
      <c r="CD143" s="266"/>
      <c r="CE143" s="267"/>
      <c r="CF143" s="266"/>
      <c r="CG143" s="266"/>
      <c r="CH143" s="266"/>
      <c r="CI143" s="266"/>
      <c r="CJ143" s="267"/>
      <c r="CK143" s="266"/>
      <c r="CL143" s="266"/>
      <c r="CM143" s="266"/>
      <c r="CN143" s="266"/>
      <c r="CO143" s="267"/>
      <c r="CP143" s="266"/>
      <c r="CQ143" s="266"/>
      <c r="CR143" s="269"/>
      <c r="CS143" s="266"/>
      <c r="CT143" s="267"/>
      <c r="CU143" s="266"/>
      <c r="CV143" s="266"/>
      <c r="CW143" s="266"/>
      <c r="CX143" s="266"/>
      <c r="CY143" s="267"/>
      <c r="CZ143" s="266"/>
      <c r="DA143" s="266"/>
      <c r="DB143" s="266"/>
      <c r="DC143" s="266"/>
      <c r="DD143" s="267"/>
      <c r="DE143" s="266"/>
      <c r="DF143" s="266"/>
      <c r="DG143" s="266"/>
      <c r="DH143" s="266"/>
      <c r="DI143" s="267"/>
      <c r="DJ143" s="266"/>
      <c r="DK143" s="266"/>
      <c r="DL143" s="266"/>
      <c r="DM143" s="266"/>
      <c r="DN143" s="267"/>
      <c r="DO143" s="266"/>
      <c r="DP143" s="266"/>
      <c r="DQ143" s="266"/>
      <c r="DR143" s="266"/>
      <c r="DS143" s="267"/>
    </row>
    <row r="144" s="88" customFormat="1" hidden="1" outlineLevel="1" spans="2:123">
      <c r="B144" s="270" t="s">
        <v>363</v>
      </c>
      <c r="C144" s="264">
        <f t="shared" ref="C144:AH144" si="938">C158-C137</f>
        <v>-10.841</v>
      </c>
      <c r="D144" s="265">
        <f t="shared" si="938"/>
        <v>-7.423</v>
      </c>
      <c r="E144" s="265">
        <f t="shared" si="938"/>
        <v>-9.186</v>
      </c>
      <c r="F144" s="265">
        <f t="shared" si="938"/>
        <v>-10.371</v>
      </c>
      <c r="G144" s="265">
        <f t="shared" si="938"/>
        <v>-15.972112</v>
      </c>
      <c r="H144" s="264">
        <f t="shared" si="938"/>
        <v>-26.417738</v>
      </c>
      <c r="I144" s="265">
        <f t="shared" si="938"/>
        <v>-14.52</v>
      </c>
      <c r="J144" s="265">
        <f t="shared" si="938"/>
        <v>-15.903295</v>
      </c>
      <c r="K144" s="265">
        <f t="shared" si="938"/>
        <v>-18.740202</v>
      </c>
      <c r="L144" s="265">
        <f t="shared" si="938"/>
        <v>-26.818225</v>
      </c>
      <c r="M144" s="264">
        <f t="shared" si="938"/>
        <v>-52.539998</v>
      </c>
      <c r="N144" s="265">
        <f t="shared" si="938"/>
        <v>-15.763888</v>
      </c>
      <c r="O144" s="265">
        <f t="shared" si="938"/>
        <v>-21.502878</v>
      </c>
      <c r="P144" s="265">
        <f t="shared" si="938"/>
        <v>-24.03342</v>
      </c>
      <c r="Q144" s="265">
        <f t="shared" si="938"/>
        <v>-34.901967</v>
      </c>
      <c r="R144" s="264">
        <f t="shared" si="938"/>
        <v>-96.2021529999999</v>
      </c>
      <c r="S144" s="265">
        <f t="shared" si="938"/>
        <v>-29.801469</v>
      </c>
      <c r="T144" s="265">
        <f t="shared" si="938"/>
        <v>-28.834365</v>
      </c>
      <c r="U144" s="265">
        <f t="shared" si="938"/>
        <v>-28.838559</v>
      </c>
      <c r="V144" s="265">
        <f t="shared" si="938"/>
        <v>-31.178</v>
      </c>
      <c r="W144" s="264">
        <f t="shared" si="938"/>
        <v>-118.652393</v>
      </c>
      <c r="X144" s="265">
        <f t="shared" si="938"/>
        <v>-25.096</v>
      </c>
      <c r="Y144" s="265">
        <f t="shared" si="938"/>
        <v>-30.832</v>
      </c>
      <c r="Z144" s="265">
        <f t="shared" si="938"/>
        <v>-35.412</v>
      </c>
      <c r="AA144" s="265">
        <f t="shared" si="938"/>
        <v>-44.924</v>
      </c>
      <c r="AB144" s="264">
        <f t="shared" si="938"/>
        <v>-136.264</v>
      </c>
      <c r="AC144" s="265">
        <f t="shared" si="938"/>
        <v>-41.883</v>
      </c>
      <c r="AD144" s="265">
        <f t="shared" si="938"/>
        <v>-46.055</v>
      </c>
      <c r="AE144" s="265">
        <f t="shared" si="938"/>
        <v>-54.456</v>
      </c>
      <c r="AF144" s="265">
        <f t="shared" si="938"/>
        <v>-72.131</v>
      </c>
      <c r="AG144" s="264">
        <f t="shared" si="938"/>
        <v>-214.525</v>
      </c>
      <c r="AH144" s="265">
        <f t="shared" si="938"/>
        <v>-58.04</v>
      </c>
      <c r="AI144" s="265">
        <f t="shared" ref="AI144:BN144" si="939">AI158-AI137</f>
        <v>-62.584</v>
      </c>
      <c r="AJ144" s="265">
        <f t="shared" si="939"/>
        <v>-68.792</v>
      </c>
      <c r="AK144" s="265">
        <f t="shared" si="939"/>
        <v>-92.942</v>
      </c>
      <c r="AL144" s="264">
        <f t="shared" si="939"/>
        <v>-282.358</v>
      </c>
      <c r="AM144" s="265">
        <f t="shared" si="939"/>
        <v>-84.199</v>
      </c>
      <c r="AN144" s="265">
        <f t="shared" si="939"/>
        <v>-85.567</v>
      </c>
      <c r="AO144" s="265">
        <f t="shared" si="939"/>
        <v>-94.689</v>
      </c>
      <c r="AP144" s="265">
        <f t="shared" si="939"/>
        <v>-121.968</v>
      </c>
      <c r="AQ144" s="264">
        <f t="shared" si="939"/>
        <v>-386.423</v>
      </c>
      <c r="AR144" s="265">
        <f t="shared" si="939"/>
        <v>-104.836</v>
      </c>
      <c r="AS144" s="265">
        <f t="shared" si="939"/>
        <v>-106.969</v>
      </c>
      <c r="AT144" s="265">
        <f t="shared" si="939"/>
        <v>-112.27</v>
      </c>
      <c r="AU144" s="265">
        <f t="shared" si="939"/>
        <v>-124.643</v>
      </c>
      <c r="AV144" s="264">
        <f t="shared" si="939"/>
        <v>-448.718</v>
      </c>
      <c r="AW144" s="265">
        <f t="shared" si="939"/>
        <v>-125.943</v>
      </c>
      <c r="AX144" s="265">
        <f t="shared" si="939"/>
        <v>-129.438</v>
      </c>
      <c r="AY144" s="265">
        <f t="shared" si="939"/>
        <v>-129.932</v>
      </c>
      <c r="AZ144" s="265">
        <f t="shared" si="939"/>
        <v>-152.831</v>
      </c>
      <c r="BA144" s="264">
        <f t="shared" si="939"/>
        <v>-538.144</v>
      </c>
      <c r="BB144" s="265">
        <f t="shared" si="939"/>
        <v>-137.841</v>
      </c>
      <c r="BC144" s="265">
        <f t="shared" si="939"/>
        <v>-145.446</v>
      </c>
      <c r="BD144" s="265">
        <f t="shared" si="939"/>
        <v>-156.619</v>
      </c>
      <c r="BE144" s="265">
        <f t="shared" si="939"/>
        <v>-188.184</v>
      </c>
      <c r="BF144" s="264">
        <f t="shared" si="939"/>
        <v>-628.09</v>
      </c>
      <c r="BG144" s="265">
        <f t="shared" si="939"/>
        <v>-181.542</v>
      </c>
      <c r="BH144" s="265">
        <f t="shared" si="939"/>
        <v>-180.202</v>
      </c>
      <c r="BI144" s="265">
        <f t="shared" si="939"/>
        <v>-185.451</v>
      </c>
      <c r="BJ144" s="265">
        <f t="shared" si="939"/>
        <v>-231.27</v>
      </c>
      <c r="BK144" s="264">
        <f t="shared" si="939"/>
        <v>-778.465</v>
      </c>
      <c r="BL144" s="265">
        <f t="shared" si="939"/>
        <v>-199.141</v>
      </c>
      <c r="BM144" s="265">
        <f t="shared" si="939"/>
        <v>-225.524</v>
      </c>
      <c r="BN144" s="265">
        <f t="shared" si="939"/>
        <v>-215.383</v>
      </c>
      <c r="BO144" s="271">
        <f t="shared" ref="BO144:BU144" si="940">BO158-BO137</f>
        <v>-264.21</v>
      </c>
      <c r="BP144" s="264">
        <f t="shared" si="940"/>
        <v>-904.258</v>
      </c>
      <c r="BQ144" s="265">
        <f t="shared" si="940"/>
        <v>-240.382</v>
      </c>
      <c r="BR144" s="265">
        <f t="shared" si="940"/>
        <v>-261.986</v>
      </c>
      <c r="BS144" s="265">
        <f t="shared" si="940"/>
        <v>-270.874</v>
      </c>
      <c r="BT144" s="265">
        <f t="shared" si="940"/>
        <v>-337.179</v>
      </c>
      <c r="BU144" s="264">
        <f t="shared" si="940"/>
        <v>-1110.421</v>
      </c>
      <c r="BV144" s="265">
        <f t="shared" ref="BV144:CT144" si="941">BV158-BV137-BV157</f>
        <v>-292.908</v>
      </c>
      <c r="BW144" s="265">
        <f t="shared" si="941"/>
        <v>-317.814</v>
      </c>
      <c r="BX144" s="265">
        <f t="shared" si="941"/>
        <v>-329.177</v>
      </c>
      <c r="BY144" s="265">
        <f t="shared" si="941"/>
        <v>-394.348</v>
      </c>
      <c r="BZ144" s="264">
        <f t="shared" si="941"/>
        <v>-1334.247</v>
      </c>
      <c r="CA144" s="265">
        <f t="shared" si="941"/>
        <v>-301.651</v>
      </c>
      <c r="CB144" s="265">
        <f t="shared" si="941"/>
        <v>-353.625</v>
      </c>
      <c r="CC144" s="265">
        <f t="shared" si="941"/>
        <v>-411.662</v>
      </c>
      <c r="CD144" s="265">
        <f t="shared" si="941"/>
        <v>-544.833</v>
      </c>
      <c r="CE144" s="264">
        <f t="shared" si="941"/>
        <v>-1611.771</v>
      </c>
      <c r="CF144" s="265">
        <f t="shared" si="941"/>
        <v>-496.645</v>
      </c>
      <c r="CG144" s="265">
        <f t="shared" si="941"/>
        <v>-541.317</v>
      </c>
      <c r="CH144" s="265">
        <f t="shared" si="941"/>
        <v>-545.124</v>
      </c>
      <c r="CI144" s="265">
        <f t="shared" si="941"/>
        <v>-641.948</v>
      </c>
      <c r="CJ144" s="264">
        <f t="shared" si="941"/>
        <v>-2225.034</v>
      </c>
      <c r="CK144" s="265">
        <f t="shared" si="941"/>
        <v>-607.851</v>
      </c>
      <c r="CL144" s="265">
        <f t="shared" si="941"/>
        <v>-662.253</v>
      </c>
      <c r="CM144" s="265">
        <f t="shared" si="941"/>
        <v>-684.236</v>
      </c>
      <c r="CN144" s="265">
        <f t="shared" si="941"/>
        <v>-803.107</v>
      </c>
      <c r="CO144" s="264">
        <f t="shared" si="941"/>
        <v>-2757.447</v>
      </c>
      <c r="CP144" s="265">
        <f t="shared" si="941"/>
        <v>-747.513</v>
      </c>
      <c r="CQ144" s="265">
        <f t="shared" si="941"/>
        <v>-817.375</v>
      </c>
      <c r="CR144" s="265">
        <f t="shared" si="941"/>
        <v>-842.795</v>
      </c>
      <c r="CS144" s="265">
        <f t="shared" si="941"/>
        <v>-989.535</v>
      </c>
      <c r="CT144" s="264">
        <f t="shared" si="941"/>
        <v>-3397.218</v>
      </c>
      <c r="CU144" s="265"/>
      <c r="CV144" s="265"/>
      <c r="CW144" s="265"/>
      <c r="CX144" s="265"/>
      <c r="CY144" s="264"/>
      <c r="CZ144" s="265"/>
      <c r="DA144" s="265"/>
      <c r="DB144" s="265"/>
      <c r="DC144" s="265"/>
      <c r="DD144" s="264"/>
      <c r="DE144" s="265"/>
      <c r="DF144" s="265"/>
      <c r="DG144" s="265"/>
      <c r="DH144" s="265"/>
      <c r="DI144" s="264"/>
      <c r="DJ144" s="265"/>
      <c r="DK144" s="265"/>
      <c r="DL144" s="265"/>
      <c r="DM144" s="265"/>
      <c r="DN144" s="264"/>
      <c r="DO144" s="265"/>
      <c r="DP144" s="265"/>
      <c r="DQ144" s="265"/>
      <c r="DR144" s="265"/>
      <c r="DS144" s="264"/>
    </row>
    <row r="145" hidden="1" outlineLevel="1" spans="2:123">
      <c r="B145" s="149" t="s">
        <v>69</v>
      </c>
      <c r="C145" s="252"/>
      <c r="D145" s="253"/>
      <c r="E145" s="253"/>
      <c r="F145" s="253"/>
      <c r="G145" s="253"/>
      <c r="H145" s="254">
        <f t="shared" ref="H145:AM145" si="942">H144/C144-1</f>
        <v>1.43683590074716</v>
      </c>
      <c r="I145" s="255">
        <f t="shared" si="942"/>
        <v>0.956082446450223</v>
      </c>
      <c r="J145" s="255">
        <f t="shared" si="942"/>
        <v>0.731253537992598</v>
      </c>
      <c r="K145" s="255">
        <f t="shared" si="942"/>
        <v>0.806981197570148</v>
      </c>
      <c r="L145" s="255">
        <f t="shared" si="942"/>
        <v>0.679065673969729</v>
      </c>
      <c r="M145" s="254">
        <f t="shared" si="942"/>
        <v>0.988815166536967</v>
      </c>
      <c r="N145" s="255">
        <f t="shared" si="942"/>
        <v>0.0856672176308542</v>
      </c>
      <c r="O145" s="255">
        <f t="shared" si="942"/>
        <v>0.352102064383513</v>
      </c>
      <c r="P145" s="255">
        <f t="shared" si="942"/>
        <v>0.282452558408921</v>
      </c>
      <c r="Q145" s="255">
        <f t="shared" si="942"/>
        <v>0.301427182447756</v>
      </c>
      <c r="R145" s="254">
        <f t="shared" si="942"/>
        <v>0.831026963495505</v>
      </c>
      <c r="S145" s="255">
        <f t="shared" si="942"/>
        <v>0.890489770036427</v>
      </c>
      <c r="T145" s="255">
        <f t="shared" si="942"/>
        <v>0.340953755120593</v>
      </c>
      <c r="U145" s="255">
        <f t="shared" si="942"/>
        <v>0.199935714517535</v>
      </c>
      <c r="V145" s="255">
        <f t="shared" si="942"/>
        <v>-0.106697911897057</v>
      </c>
      <c r="W145" s="254">
        <f t="shared" si="942"/>
        <v>0.233365255349327</v>
      </c>
      <c r="X145" s="255">
        <f t="shared" si="942"/>
        <v>-0.157893860869744</v>
      </c>
      <c r="Y145" s="255">
        <f t="shared" si="942"/>
        <v>0.0692796598780658</v>
      </c>
      <c r="Z145" s="255">
        <f t="shared" si="942"/>
        <v>0.227939301682862</v>
      </c>
      <c r="AA145" s="255">
        <f t="shared" si="942"/>
        <v>0.440887805503881</v>
      </c>
      <c r="AB145" s="254">
        <f t="shared" si="942"/>
        <v>0.148430272282836</v>
      </c>
      <c r="AC145" s="255">
        <f t="shared" si="942"/>
        <v>0.66891138029965</v>
      </c>
      <c r="AD145" s="255">
        <f t="shared" si="942"/>
        <v>0.493740269849507</v>
      </c>
      <c r="AE145" s="255">
        <f t="shared" si="942"/>
        <v>0.537783802100982</v>
      </c>
      <c r="AF145" s="255">
        <f t="shared" si="942"/>
        <v>0.605622829667884</v>
      </c>
      <c r="AG145" s="254">
        <f t="shared" si="942"/>
        <v>0.574333646451007</v>
      </c>
      <c r="AH145" s="255">
        <f t="shared" si="942"/>
        <v>0.38576510756154</v>
      </c>
      <c r="AI145" s="255">
        <f t="shared" si="942"/>
        <v>0.35889697101292</v>
      </c>
      <c r="AJ145" s="255">
        <f t="shared" si="942"/>
        <v>0.263258410459821</v>
      </c>
      <c r="AK145" s="255">
        <f t="shared" si="942"/>
        <v>0.288516726511486</v>
      </c>
      <c r="AL145" s="254">
        <f t="shared" si="942"/>
        <v>0.316200908984966</v>
      </c>
      <c r="AM145" s="255">
        <f t="shared" si="942"/>
        <v>0.450706409372846</v>
      </c>
      <c r="AN145" s="255">
        <f t="shared" ref="AN145:BS145" si="943">AN144/AI144-1</f>
        <v>0.367234436916783</v>
      </c>
      <c r="AO145" s="255">
        <f t="shared" si="943"/>
        <v>0.376453657402024</v>
      </c>
      <c r="AP145" s="255">
        <f t="shared" si="943"/>
        <v>0.312302296055606</v>
      </c>
      <c r="AQ145" s="254">
        <f t="shared" si="943"/>
        <v>0.368556938354854</v>
      </c>
      <c r="AR145" s="255">
        <f t="shared" si="943"/>
        <v>0.245097922778181</v>
      </c>
      <c r="AS145" s="255">
        <f t="shared" si="943"/>
        <v>0.250119789171059</v>
      </c>
      <c r="AT145" s="255">
        <f t="shared" si="943"/>
        <v>0.185670986070187</v>
      </c>
      <c r="AU145" s="255">
        <f t="shared" si="943"/>
        <v>0.021931982159255</v>
      </c>
      <c r="AV145" s="254">
        <f t="shared" si="943"/>
        <v>0.161209348304837</v>
      </c>
      <c r="AW145" s="255">
        <f t="shared" si="943"/>
        <v>0.201333511389217</v>
      </c>
      <c r="AX145" s="255">
        <f t="shared" si="943"/>
        <v>0.210051510250634</v>
      </c>
      <c r="AY145" s="255">
        <f t="shared" si="943"/>
        <v>0.15731718179389</v>
      </c>
      <c r="AZ145" s="255">
        <f t="shared" si="943"/>
        <v>0.226149884068899</v>
      </c>
      <c r="BA145" s="254">
        <f t="shared" si="943"/>
        <v>0.199292205795176</v>
      </c>
      <c r="BB145" s="255">
        <f t="shared" si="943"/>
        <v>0.0944713084490609</v>
      </c>
      <c r="BC145" s="255">
        <f t="shared" si="943"/>
        <v>0.123673109905901</v>
      </c>
      <c r="BD145" s="255">
        <f t="shared" si="943"/>
        <v>0.205392051226796</v>
      </c>
      <c r="BE145" s="255">
        <f t="shared" si="943"/>
        <v>0.231320870765749</v>
      </c>
      <c r="BF145" s="254">
        <f t="shared" si="943"/>
        <v>0.167141136944758</v>
      </c>
      <c r="BG145" s="255">
        <f t="shared" si="943"/>
        <v>0.31703919733606</v>
      </c>
      <c r="BH145" s="255">
        <f t="shared" si="943"/>
        <v>0.238961538990415</v>
      </c>
      <c r="BI145" s="255">
        <f t="shared" si="943"/>
        <v>0.184090052930998</v>
      </c>
      <c r="BJ145" s="255">
        <f t="shared" si="943"/>
        <v>0.228956765718658</v>
      </c>
      <c r="BK145" s="254">
        <f t="shared" si="943"/>
        <v>0.23941632568581</v>
      </c>
      <c r="BL145" s="255">
        <f t="shared" si="943"/>
        <v>0.0969417545251239</v>
      </c>
      <c r="BM145" s="255">
        <f t="shared" si="943"/>
        <v>0.251506642545588</v>
      </c>
      <c r="BN145" s="255">
        <f t="shared" si="943"/>
        <v>0.161401124825426</v>
      </c>
      <c r="BO145" s="255">
        <f t="shared" si="943"/>
        <v>0.142430924892983</v>
      </c>
      <c r="BP145" s="254">
        <f t="shared" si="943"/>
        <v>0.161591079881561</v>
      </c>
      <c r="BQ145" s="255">
        <f t="shared" si="943"/>
        <v>0.20709447075188</v>
      </c>
      <c r="BR145" s="255">
        <f t="shared" si="943"/>
        <v>0.161676806016211</v>
      </c>
      <c r="BS145" s="255">
        <f t="shared" si="943"/>
        <v>0.25763871800467</v>
      </c>
      <c r="BT145" s="255">
        <f t="shared" ref="BT145:CR145" si="944">BT144/BO144-1</f>
        <v>0.276178040195299</v>
      </c>
      <c r="BU145" s="254">
        <f t="shared" si="944"/>
        <v>0.227991347602122</v>
      </c>
      <c r="BV145" s="255">
        <f t="shared" si="944"/>
        <v>0.218510537394647</v>
      </c>
      <c r="BW145" s="255">
        <f t="shared" si="944"/>
        <v>0.21309535624041</v>
      </c>
      <c r="BX145" s="255">
        <f t="shared" si="944"/>
        <v>0.21524029622629</v>
      </c>
      <c r="BY145" s="255">
        <f t="shared" si="944"/>
        <v>0.169550891366307</v>
      </c>
      <c r="BZ145" s="254">
        <f t="shared" si="944"/>
        <v>0.201568594253891</v>
      </c>
      <c r="CA145" s="255">
        <f t="shared" si="944"/>
        <v>0.0298489628142622</v>
      </c>
      <c r="CB145" s="255">
        <f t="shared" si="944"/>
        <v>0.112679114198871</v>
      </c>
      <c r="CC145" s="255">
        <f t="shared" si="944"/>
        <v>0.250579475479757</v>
      </c>
      <c r="CD145" s="255">
        <f t="shared" si="944"/>
        <v>0.381604572610993</v>
      </c>
      <c r="CE145" s="254">
        <f t="shared" si="944"/>
        <v>0.208000467679523</v>
      </c>
      <c r="CF145" s="255">
        <f t="shared" si="944"/>
        <v>0.646422521390614</v>
      </c>
      <c r="CG145" s="255">
        <f t="shared" si="944"/>
        <v>0.530765641569459</v>
      </c>
      <c r="CH145" s="255">
        <f t="shared" si="944"/>
        <v>0.324202865457583</v>
      </c>
      <c r="CI145" s="255">
        <f t="shared" si="944"/>
        <v>0.178247279441591</v>
      </c>
      <c r="CJ145" s="254">
        <f t="shared" si="944"/>
        <v>0.380490156480046</v>
      </c>
      <c r="CK145" s="255">
        <f t="shared" si="944"/>
        <v>0.223914466067312</v>
      </c>
      <c r="CL145" s="255">
        <f t="shared" si="944"/>
        <v>0.223410681726235</v>
      </c>
      <c r="CM145" s="255">
        <f t="shared" si="944"/>
        <v>0.25519331381484</v>
      </c>
      <c r="CN145" s="255">
        <f t="shared" si="944"/>
        <v>0.251046813760616</v>
      </c>
      <c r="CO145" s="254">
        <f t="shared" si="944"/>
        <v>0.239283085112406</v>
      </c>
      <c r="CP145" s="255">
        <f t="shared" si="944"/>
        <v>0.229763544026414</v>
      </c>
      <c r="CQ145" s="255">
        <f t="shared" si="944"/>
        <v>0.234233744505498</v>
      </c>
      <c r="CR145" s="255">
        <f t="shared" si="944"/>
        <v>0.231731449382961</v>
      </c>
      <c r="CS145" s="255">
        <f t="shared" ref="CS145:CT145" si="945">CS144/CN144-1</f>
        <v>0.232133451706934</v>
      </c>
      <c r="CT145" s="254">
        <f t="shared" si="945"/>
        <v>0.232015701480391</v>
      </c>
      <c r="CU145" s="255"/>
      <c r="CV145" s="255"/>
      <c r="CW145" s="255"/>
      <c r="CX145" s="255"/>
      <c r="CY145" s="254"/>
      <c r="CZ145" s="255"/>
      <c r="DA145" s="255"/>
      <c r="DB145" s="255"/>
      <c r="DC145" s="255"/>
      <c r="DD145" s="254"/>
      <c r="DE145" s="255"/>
      <c r="DF145" s="255"/>
      <c r="DG145" s="255"/>
      <c r="DH145" s="255"/>
      <c r="DI145" s="254"/>
      <c r="DJ145" s="255"/>
      <c r="DK145" s="255"/>
      <c r="DL145" s="255"/>
      <c r="DM145" s="255"/>
      <c r="DN145" s="254"/>
      <c r="DO145" s="255"/>
      <c r="DP145" s="255"/>
      <c r="DQ145" s="255"/>
      <c r="DR145" s="255"/>
      <c r="DS145" s="254"/>
    </row>
    <row r="146" hidden="1" outlineLevel="1" spans="2:123">
      <c r="B146" s="262" t="s">
        <v>72</v>
      </c>
      <c r="C146" s="254">
        <f t="shared" ref="C146:AH146" si="946">-C144/C$13</f>
        <v>0.266043338486834</v>
      </c>
      <c r="D146" s="255">
        <f t="shared" si="946"/>
        <v>0.474920025591811</v>
      </c>
      <c r="E146" s="255">
        <f t="shared" si="946"/>
        <v>0.53637743781385</v>
      </c>
      <c r="F146" s="255">
        <f t="shared" si="946"/>
        <v>0.51896517213771</v>
      </c>
      <c r="G146" s="255">
        <f t="shared" si="946"/>
        <v>0.508842737188998</v>
      </c>
      <c r="H146" s="254">
        <f t="shared" si="946"/>
        <v>0.314014297051794</v>
      </c>
      <c r="I146" s="255">
        <f t="shared" si="946"/>
        <v>0.51518592108998</v>
      </c>
      <c r="J146" s="255">
        <f t="shared" si="946"/>
        <v>0.489069756635494</v>
      </c>
      <c r="K146" s="255">
        <f t="shared" si="946"/>
        <v>0.521029876459699</v>
      </c>
      <c r="L146" s="255">
        <f t="shared" si="946"/>
        <v>0.51360381809469</v>
      </c>
      <c r="M146" s="254">
        <f t="shared" si="946"/>
        <v>0.352890194309516</v>
      </c>
      <c r="N146" s="255">
        <f t="shared" si="946"/>
        <v>0.351955335202107</v>
      </c>
      <c r="O146" s="255">
        <f t="shared" si="946"/>
        <v>0.366437152067629</v>
      </c>
      <c r="P146" s="255">
        <f t="shared" si="946"/>
        <v>0.363315468959466</v>
      </c>
      <c r="Q146" s="255">
        <f t="shared" si="946"/>
        <v>0.332106647460249</v>
      </c>
      <c r="R146" s="254">
        <f t="shared" si="946"/>
        <v>0.350191065356683</v>
      </c>
      <c r="S146" s="255">
        <f t="shared" si="946"/>
        <v>0.381251431701264</v>
      </c>
      <c r="T146" s="255">
        <f t="shared" si="946"/>
        <v>0.337306276972302</v>
      </c>
      <c r="U146" s="255">
        <f t="shared" si="946"/>
        <v>0.331298198384128</v>
      </c>
      <c r="V146" s="255">
        <f t="shared" si="946"/>
        <v>0.300016358580075</v>
      </c>
      <c r="W146" s="254">
        <f t="shared" si="946"/>
        <v>0.334590385537694</v>
      </c>
      <c r="X146" s="255">
        <f t="shared" si="946"/>
        <v>0.307247796278159</v>
      </c>
      <c r="Y146" s="255">
        <f t="shared" si="946"/>
        <v>0.315510483928736</v>
      </c>
      <c r="Z146" s="255">
        <f t="shared" si="946"/>
        <v>0.313683110256796</v>
      </c>
      <c r="AA146" s="255">
        <f t="shared" si="946"/>
        <v>0.279715577251161</v>
      </c>
      <c r="AB146" s="254">
        <f t="shared" si="946"/>
        <v>0.300871277859474</v>
      </c>
      <c r="AC146" s="255">
        <f t="shared" si="946"/>
        <v>0.302848217965683</v>
      </c>
      <c r="AD146" s="255">
        <f t="shared" si="946"/>
        <v>0.302579365079365</v>
      </c>
      <c r="AE146" s="255">
        <f t="shared" si="946"/>
        <v>0.309761092150171</v>
      </c>
      <c r="AF146" s="255">
        <f t="shared" si="946"/>
        <v>0.293933553111463</v>
      </c>
      <c r="AG146" s="254">
        <f t="shared" si="946"/>
        <v>0.301424468599305</v>
      </c>
      <c r="AH146" s="255">
        <f t="shared" si="946"/>
        <v>0.310739907913053</v>
      </c>
      <c r="AI146" s="255">
        <f t="shared" ref="AI146:BN146" si="947">-AI144/AI$13</f>
        <v>0.294758457632946</v>
      </c>
      <c r="AJ146" s="255">
        <f t="shared" si="947"/>
        <v>0.298815025888731</v>
      </c>
      <c r="AK146" s="255">
        <f t="shared" si="947"/>
        <v>0.250166881998277</v>
      </c>
      <c r="AL146" s="254">
        <f t="shared" si="947"/>
        <v>0.282121300229108</v>
      </c>
      <c r="AM146" s="255">
        <f t="shared" si="947"/>
        <v>0.294713298658023</v>
      </c>
      <c r="AN146" s="255">
        <f t="shared" si="947"/>
        <v>0.302748430832809</v>
      </c>
      <c r="AO146" s="255">
        <f t="shared" si="947"/>
        <v>0.299140384852324</v>
      </c>
      <c r="AP146" s="255">
        <f t="shared" si="947"/>
        <v>0.251208485659853</v>
      </c>
      <c r="AQ146" s="254">
        <f t="shared" si="947"/>
        <v>0.281979489110431</v>
      </c>
      <c r="AR146" s="255">
        <f t="shared" si="947"/>
        <v>0.303185243881984</v>
      </c>
      <c r="AS146" s="255">
        <f t="shared" si="947"/>
        <v>0.310493363095152</v>
      </c>
      <c r="AT146" s="255">
        <f t="shared" si="947"/>
        <v>0.295525138194262</v>
      </c>
      <c r="AU146" s="255">
        <f t="shared" si="947"/>
        <v>0.239241218212145</v>
      </c>
      <c r="AV146" s="254">
        <f t="shared" si="947"/>
        <v>0.282001875328371</v>
      </c>
      <c r="AW146" s="255">
        <f t="shared" si="947"/>
        <v>0.327449573342901</v>
      </c>
      <c r="AX146" s="255">
        <f t="shared" si="947"/>
        <v>0.331274777530091</v>
      </c>
      <c r="AY146" s="255">
        <f t="shared" si="947"/>
        <v>0.309807437362302</v>
      </c>
      <c r="AZ146" s="255">
        <f t="shared" si="947"/>
        <v>0.253674462918424</v>
      </c>
      <c r="BA146" s="254">
        <f t="shared" si="947"/>
        <v>0.299433010054473</v>
      </c>
      <c r="BB146" s="255">
        <f t="shared" si="947"/>
        <v>0.325446706835654</v>
      </c>
      <c r="BC146" s="255">
        <f t="shared" si="947"/>
        <v>0.321065760137745</v>
      </c>
      <c r="BD146" s="255">
        <f t="shared" si="947"/>
        <v>0.326498406272345</v>
      </c>
      <c r="BE146" s="255">
        <f t="shared" si="947"/>
        <v>0.267202062827641</v>
      </c>
      <c r="BF146" s="254">
        <f t="shared" si="947"/>
        <v>0.304820669315509</v>
      </c>
      <c r="BG146" s="255">
        <f t="shared" si="947"/>
        <v>0.366369602596082</v>
      </c>
      <c r="BH146" s="255">
        <f t="shared" si="947"/>
        <v>0.350233227085439</v>
      </c>
      <c r="BI146" s="255">
        <f t="shared" si="947"/>
        <v>0.340642082525128</v>
      </c>
      <c r="BJ146" s="255">
        <f t="shared" si="947"/>
        <v>0.292769071068689</v>
      </c>
      <c r="BK146" s="254">
        <f t="shared" si="947"/>
        <v>0.332054110404745</v>
      </c>
      <c r="BL146" s="255">
        <f t="shared" si="947"/>
        <v>0.382737499207199</v>
      </c>
      <c r="BM146" s="255">
        <f t="shared" si="947"/>
        <v>0.388129158391475</v>
      </c>
      <c r="BN146" s="255">
        <f t="shared" si="947"/>
        <v>0.347934039164246</v>
      </c>
      <c r="BO146" s="255">
        <f t="shared" ref="BO146:CI146" si="948">-BO144/BO$13</f>
        <v>0.284469949826654</v>
      </c>
      <c r="BP146" s="254">
        <f t="shared" si="948"/>
        <v>0.341335698849642</v>
      </c>
      <c r="BQ146" s="255">
        <f t="shared" si="948"/>
        <v>0.370012006280208</v>
      </c>
      <c r="BR146" s="255">
        <f t="shared" si="948"/>
        <v>0.362109191430546</v>
      </c>
      <c r="BS146" s="255">
        <f t="shared" si="948"/>
        <v>0.362298118784734</v>
      </c>
      <c r="BT146" s="255">
        <f t="shared" si="948"/>
        <v>0.288803293179295</v>
      </c>
      <c r="BU146" s="254">
        <f t="shared" si="948"/>
        <v>0.337686520073022</v>
      </c>
      <c r="BV146" s="255">
        <f t="shared" si="948"/>
        <v>0.374411841777289</v>
      </c>
      <c r="BW146" s="255">
        <f t="shared" si="948"/>
        <v>0.359781831025458</v>
      </c>
      <c r="BX146" s="255">
        <f t="shared" si="948"/>
        <v>0.359324309573191</v>
      </c>
      <c r="BY146" s="255">
        <f t="shared" si="948"/>
        <v>0.282181037567084</v>
      </c>
      <c r="BZ146" s="254">
        <f t="shared" si="948"/>
        <v>0.335299692129229</v>
      </c>
      <c r="CA146" s="255">
        <f t="shared" si="948"/>
        <v>0.462681874096956</v>
      </c>
      <c r="CB146" s="255">
        <f t="shared" si="948"/>
        <v>0.391637751830412</v>
      </c>
      <c r="CC146" s="255">
        <f t="shared" si="948"/>
        <v>0.368402023937156</v>
      </c>
      <c r="CD146" s="255">
        <f t="shared" si="948"/>
        <v>0.315013945807932</v>
      </c>
      <c r="CE146" s="254">
        <f t="shared" si="948"/>
        <v>0.366155225984176</v>
      </c>
      <c r="CF146" s="255">
        <f t="shared" si="948"/>
        <v>0.404936582534024</v>
      </c>
      <c r="CG146" s="255">
        <f t="shared" si="948"/>
        <v>0.373163024311018</v>
      </c>
      <c r="CH146" s="255">
        <f t="shared" si="948"/>
        <v>0.375838463453025</v>
      </c>
      <c r="CI146" s="255">
        <f t="shared" si="948"/>
        <v>0.301511153528577</v>
      </c>
      <c r="CJ146" s="254">
        <f t="shared" ref="CJ146:CO146" si="949">-CJ144/CJ$13</f>
        <v>0.355628928540775</v>
      </c>
      <c r="CK146" s="255">
        <f t="shared" si="949"/>
        <v>0.376736869702001</v>
      </c>
      <c r="CL146" s="255">
        <f t="shared" si="949"/>
        <v>0.35446292085758</v>
      </c>
      <c r="CM146" s="255">
        <f t="shared" si="949"/>
        <v>0.368485138314676</v>
      </c>
      <c r="CN146" s="255">
        <f t="shared" si="949"/>
        <v>0.289738072715649</v>
      </c>
      <c r="CO146" s="254">
        <f t="shared" si="949"/>
        <v>0.339984079931763</v>
      </c>
      <c r="CP146" s="255">
        <f t="shared" ref="CP146:CT146" si="950">-CP144/CP$13</f>
        <v>0.373608551013798</v>
      </c>
      <c r="CQ146" s="255">
        <f t="shared" si="950"/>
        <v>0.369992734811569</v>
      </c>
      <c r="CR146" s="255">
        <f t="shared" si="950"/>
        <v>0.38235555648307</v>
      </c>
      <c r="CS146" s="255">
        <f t="shared" si="950"/>
        <v>0.308737347910504</v>
      </c>
      <c r="CT146" s="254">
        <f t="shared" si="950"/>
        <v>0.353167670172335</v>
      </c>
      <c r="CU146" s="255"/>
      <c r="CV146" s="255"/>
      <c r="CW146" s="255"/>
      <c r="CX146" s="255"/>
      <c r="CY146" s="254"/>
      <c r="CZ146" s="255"/>
      <c r="DA146" s="255"/>
      <c r="DB146" s="255"/>
      <c r="DC146" s="255"/>
      <c r="DD146" s="254"/>
      <c r="DE146" s="255"/>
      <c r="DF146" s="255"/>
      <c r="DG146" s="255"/>
      <c r="DH146" s="255"/>
      <c r="DI146" s="254"/>
      <c r="DJ146" s="255"/>
      <c r="DK146" s="255"/>
      <c r="DL146" s="255"/>
      <c r="DM146" s="255"/>
      <c r="DN146" s="254"/>
      <c r="DO146" s="255"/>
      <c r="DP146" s="255"/>
      <c r="DQ146" s="255"/>
      <c r="DR146" s="255"/>
      <c r="DS146" s="254"/>
    </row>
    <row r="147" hidden="1" outlineLevel="1" spans="2:123">
      <c r="B147" s="256" t="s">
        <v>73</v>
      </c>
      <c r="C147" s="246"/>
      <c r="D147" s="247"/>
      <c r="E147" s="247"/>
      <c r="F147" s="247"/>
      <c r="G147" s="247"/>
      <c r="H147" s="259">
        <f t="shared" ref="H147:AM147" si="951">(H146-C146)*100*100</f>
        <v>479.7095856496</v>
      </c>
      <c r="I147" s="260">
        <f t="shared" si="951"/>
        <v>402.658954981697</v>
      </c>
      <c r="J147" s="260">
        <f t="shared" si="951"/>
        <v>-473.076811783565</v>
      </c>
      <c r="K147" s="260">
        <f t="shared" si="951"/>
        <v>20.6470432198846</v>
      </c>
      <c r="L147" s="260">
        <f t="shared" si="951"/>
        <v>47.6108090569272</v>
      </c>
      <c r="M147" s="259">
        <f t="shared" si="951"/>
        <v>388.758972577217</v>
      </c>
      <c r="N147" s="260">
        <f t="shared" si="951"/>
        <v>-1632.30585887874</v>
      </c>
      <c r="O147" s="260">
        <f t="shared" si="951"/>
        <v>-1226.32604567865</v>
      </c>
      <c r="P147" s="260">
        <f t="shared" si="951"/>
        <v>-1577.14407500232</v>
      </c>
      <c r="Q147" s="260">
        <f t="shared" si="951"/>
        <v>-1814.97170634442</v>
      </c>
      <c r="R147" s="259">
        <f t="shared" si="951"/>
        <v>-26.9912895283253</v>
      </c>
      <c r="S147" s="260">
        <f t="shared" si="951"/>
        <v>292.960964991579</v>
      </c>
      <c r="T147" s="260">
        <f t="shared" si="951"/>
        <v>-291.30875095327</v>
      </c>
      <c r="U147" s="260">
        <f t="shared" si="951"/>
        <v>-320.172705753379</v>
      </c>
      <c r="V147" s="260">
        <f t="shared" si="951"/>
        <v>-320.902888801734</v>
      </c>
      <c r="W147" s="259">
        <f t="shared" si="951"/>
        <v>-156.006798189893</v>
      </c>
      <c r="X147" s="260">
        <f t="shared" si="951"/>
        <v>-740.036354231058</v>
      </c>
      <c r="Y147" s="260">
        <f t="shared" si="951"/>
        <v>-217.957930435658</v>
      </c>
      <c r="Z147" s="260">
        <f t="shared" si="951"/>
        <v>-176.150881273318</v>
      </c>
      <c r="AA147" s="260">
        <f t="shared" si="951"/>
        <v>-203.007813289139</v>
      </c>
      <c r="AB147" s="259">
        <f t="shared" si="951"/>
        <v>-337.1910767822</v>
      </c>
      <c r="AC147" s="260">
        <f t="shared" si="951"/>
        <v>-43.9957831247606</v>
      </c>
      <c r="AD147" s="260">
        <f t="shared" si="951"/>
        <v>-129.311188493708</v>
      </c>
      <c r="AE147" s="260">
        <f t="shared" si="951"/>
        <v>-39.2201810662579</v>
      </c>
      <c r="AF147" s="260">
        <f t="shared" si="951"/>
        <v>142.179758603022</v>
      </c>
      <c r="AG147" s="259">
        <f t="shared" si="951"/>
        <v>5.53190739831511</v>
      </c>
      <c r="AH147" s="260">
        <f t="shared" si="951"/>
        <v>78.9168994737022</v>
      </c>
      <c r="AI147" s="260">
        <f t="shared" si="951"/>
        <v>-78.2090744641895</v>
      </c>
      <c r="AJ147" s="260">
        <f t="shared" si="951"/>
        <v>-109.460662614401</v>
      </c>
      <c r="AK147" s="260">
        <f t="shared" si="951"/>
        <v>-437.666711131861</v>
      </c>
      <c r="AL147" s="259">
        <f t="shared" si="951"/>
        <v>-193.031683701976</v>
      </c>
      <c r="AM147" s="260">
        <f t="shared" si="951"/>
        <v>-160.266092550294</v>
      </c>
      <c r="AN147" s="260">
        <f t="shared" ref="AN147:BS147" si="952">(AN146-AI146)*100*100</f>
        <v>79.8997319986239</v>
      </c>
      <c r="AO147" s="260">
        <f t="shared" si="952"/>
        <v>3.25358963593203</v>
      </c>
      <c r="AP147" s="260">
        <f t="shared" si="952"/>
        <v>10.4160366157552</v>
      </c>
      <c r="AQ147" s="259">
        <f t="shared" si="952"/>
        <v>-1.41811118676727</v>
      </c>
      <c r="AR147" s="260">
        <f t="shared" si="952"/>
        <v>84.7194522396005</v>
      </c>
      <c r="AS147" s="260">
        <f t="shared" si="952"/>
        <v>77.4493226234319</v>
      </c>
      <c r="AT147" s="260">
        <f t="shared" si="952"/>
        <v>-36.1524665806223</v>
      </c>
      <c r="AU147" s="260">
        <f t="shared" si="952"/>
        <v>-119.672674477078</v>
      </c>
      <c r="AV147" s="259">
        <f t="shared" si="952"/>
        <v>0.223862179399847</v>
      </c>
      <c r="AW147" s="260">
        <f t="shared" si="952"/>
        <v>242.643294609177</v>
      </c>
      <c r="AX147" s="260">
        <f t="shared" si="952"/>
        <v>207.814144349397</v>
      </c>
      <c r="AY147" s="260">
        <f t="shared" si="952"/>
        <v>142.822991680404</v>
      </c>
      <c r="AZ147" s="260">
        <f t="shared" si="952"/>
        <v>144.332447062788</v>
      </c>
      <c r="BA147" s="259">
        <f t="shared" si="952"/>
        <v>174.311347261023</v>
      </c>
      <c r="BB147" s="260">
        <f t="shared" si="952"/>
        <v>-20.0286650724768</v>
      </c>
      <c r="BC147" s="260">
        <f t="shared" si="952"/>
        <v>-102.09017392346</v>
      </c>
      <c r="BD147" s="260">
        <f t="shared" si="952"/>
        <v>166.909689100431</v>
      </c>
      <c r="BE147" s="260">
        <f t="shared" si="952"/>
        <v>135.275999092176</v>
      </c>
      <c r="BF147" s="259">
        <f t="shared" si="952"/>
        <v>53.876592610354</v>
      </c>
      <c r="BG147" s="260">
        <f t="shared" si="952"/>
        <v>409.228957604281</v>
      </c>
      <c r="BH147" s="260">
        <f t="shared" si="952"/>
        <v>291.674669476935</v>
      </c>
      <c r="BI147" s="260">
        <f t="shared" si="952"/>
        <v>141.436762527828</v>
      </c>
      <c r="BJ147" s="260">
        <f t="shared" si="952"/>
        <v>255.670082410472</v>
      </c>
      <c r="BK147" s="259">
        <f t="shared" si="952"/>
        <v>272.334410892359</v>
      </c>
      <c r="BL147" s="260">
        <f t="shared" si="952"/>
        <v>163.678966111172</v>
      </c>
      <c r="BM147" s="260">
        <f t="shared" si="952"/>
        <v>378.959313060361</v>
      </c>
      <c r="BN147" s="260">
        <f t="shared" si="952"/>
        <v>72.9195663911852</v>
      </c>
      <c r="BO147" s="260">
        <f t="shared" si="952"/>
        <v>-82.9912124203436</v>
      </c>
      <c r="BP147" s="259">
        <f t="shared" si="952"/>
        <v>92.8158844489718</v>
      </c>
      <c r="BQ147" s="260">
        <f t="shared" si="952"/>
        <v>-127.254929269907</v>
      </c>
      <c r="BR147" s="260">
        <f t="shared" si="952"/>
        <v>-260.19966960929</v>
      </c>
      <c r="BS147" s="260">
        <f t="shared" si="952"/>
        <v>143.640796204872</v>
      </c>
      <c r="BT147" s="260">
        <f t="shared" ref="BT147:CR147" si="953">(BT146-BO146)*100*100</f>
        <v>43.3334335264096</v>
      </c>
      <c r="BU147" s="259">
        <f t="shared" si="953"/>
        <v>-36.4917877661974</v>
      </c>
      <c r="BV147" s="260">
        <f t="shared" si="953"/>
        <v>43.9983549708106</v>
      </c>
      <c r="BW147" s="260">
        <f t="shared" si="953"/>
        <v>-23.2736040508841</v>
      </c>
      <c r="BX147" s="260">
        <f t="shared" si="953"/>
        <v>-29.7380921154289</v>
      </c>
      <c r="BY147" s="260">
        <f t="shared" si="953"/>
        <v>-66.2225561221119</v>
      </c>
      <c r="BZ147" s="259">
        <f t="shared" si="953"/>
        <v>-23.8682794379336</v>
      </c>
      <c r="CA147" s="260">
        <f t="shared" si="953"/>
        <v>882.700323196673</v>
      </c>
      <c r="CB147" s="260">
        <f t="shared" si="953"/>
        <v>318.559208049541</v>
      </c>
      <c r="CC147" s="260">
        <f t="shared" si="953"/>
        <v>90.7771436396493</v>
      </c>
      <c r="CD147" s="260">
        <f t="shared" si="953"/>
        <v>328.329082408477</v>
      </c>
      <c r="CE147" s="259">
        <f t="shared" si="953"/>
        <v>308.555338549475</v>
      </c>
      <c r="CF147" s="260">
        <f t="shared" si="953"/>
        <v>-577.452915629322</v>
      </c>
      <c r="CG147" s="260">
        <f t="shared" si="953"/>
        <v>-184.747275193939</v>
      </c>
      <c r="CH147" s="260">
        <f t="shared" si="953"/>
        <v>74.3643951586925</v>
      </c>
      <c r="CI147" s="260">
        <f t="shared" si="953"/>
        <v>-135.027922793549</v>
      </c>
      <c r="CJ147" s="259">
        <f t="shared" si="953"/>
        <v>-105.262974434009</v>
      </c>
      <c r="CK147" s="260">
        <f t="shared" si="953"/>
        <v>-281.997128320232</v>
      </c>
      <c r="CL147" s="260">
        <f t="shared" si="953"/>
        <v>-187.001034534381</v>
      </c>
      <c r="CM147" s="260">
        <f t="shared" si="953"/>
        <v>-73.5332513834897</v>
      </c>
      <c r="CN147" s="260">
        <f t="shared" si="953"/>
        <v>-117.730808129276</v>
      </c>
      <c r="CO147" s="259">
        <f t="shared" si="953"/>
        <v>-156.448486090128</v>
      </c>
      <c r="CP147" s="260">
        <f t="shared" si="953"/>
        <v>-31.2831868820268</v>
      </c>
      <c r="CQ147" s="260">
        <f t="shared" si="953"/>
        <v>155.298139539894</v>
      </c>
      <c r="CR147" s="260">
        <f t="shared" si="953"/>
        <v>138.704181683943</v>
      </c>
      <c r="CS147" s="260">
        <f t="shared" ref="CS147:CT147" si="954">(CS146-CN146)*100*100</f>
        <v>189.992751948547</v>
      </c>
      <c r="CT147" s="259">
        <f t="shared" si="954"/>
        <v>131.835902405726</v>
      </c>
      <c r="CU147" s="260"/>
      <c r="CV147" s="260"/>
      <c r="CW147" s="260"/>
      <c r="CX147" s="260"/>
      <c r="CY147" s="259"/>
      <c r="CZ147" s="260"/>
      <c r="DA147" s="260"/>
      <c r="DB147" s="260"/>
      <c r="DC147" s="260"/>
      <c r="DD147" s="259"/>
      <c r="DE147" s="260"/>
      <c r="DF147" s="260"/>
      <c r="DG147" s="260"/>
      <c r="DH147" s="260"/>
      <c r="DI147" s="259"/>
      <c r="DJ147" s="260"/>
      <c r="DK147" s="260"/>
      <c r="DL147" s="260"/>
      <c r="DM147" s="260"/>
      <c r="DN147" s="259"/>
      <c r="DO147" s="260"/>
      <c r="DP147" s="260"/>
      <c r="DQ147" s="260"/>
      <c r="DR147" s="260"/>
      <c r="DS147" s="259"/>
    </row>
    <row r="148" hidden="1" outlineLevel="1" spans="2:123">
      <c r="B148" s="256"/>
      <c r="C148" s="246"/>
      <c r="D148" s="247"/>
      <c r="E148" s="247"/>
      <c r="F148" s="247"/>
      <c r="G148" s="247"/>
      <c r="H148" s="246"/>
      <c r="I148" s="247"/>
      <c r="J148" s="247"/>
      <c r="K148" s="247"/>
      <c r="L148" s="247"/>
      <c r="M148" s="246"/>
      <c r="N148" s="247"/>
      <c r="O148" s="247"/>
      <c r="P148" s="247"/>
      <c r="Q148" s="247"/>
      <c r="R148" s="246"/>
      <c r="S148" s="247"/>
      <c r="T148" s="247"/>
      <c r="U148" s="247"/>
      <c r="V148" s="247"/>
      <c r="W148" s="246"/>
      <c r="X148" s="247"/>
      <c r="Y148" s="247"/>
      <c r="Z148" s="247"/>
      <c r="AA148" s="247"/>
      <c r="AB148" s="246"/>
      <c r="AC148" s="247"/>
      <c r="AD148" s="247"/>
      <c r="AE148" s="247"/>
      <c r="AF148" s="247"/>
      <c r="AG148" s="246"/>
      <c r="AH148" s="247"/>
      <c r="AI148" s="247"/>
      <c r="AJ148" s="247"/>
      <c r="AK148" s="247"/>
      <c r="AL148" s="246"/>
      <c r="AM148" s="247"/>
      <c r="AN148" s="247"/>
      <c r="AO148" s="247"/>
      <c r="AP148" s="247"/>
      <c r="AQ148" s="246"/>
      <c r="AR148" s="247"/>
      <c r="AS148" s="247"/>
      <c r="AT148" s="247"/>
      <c r="AU148" s="247"/>
      <c r="AV148" s="246"/>
      <c r="AW148" s="247"/>
      <c r="AX148" s="247"/>
      <c r="AY148" s="247"/>
      <c r="AZ148" s="247"/>
      <c r="BA148" s="246"/>
      <c r="BB148" s="247"/>
      <c r="BC148" s="247"/>
      <c r="BD148" s="247"/>
      <c r="BE148" s="247"/>
      <c r="BF148" s="246"/>
      <c r="BG148" s="247"/>
      <c r="BH148" s="247"/>
      <c r="BI148" s="247"/>
      <c r="BJ148" s="247"/>
      <c r="BK148" s="246"/>
      <c r="BL148" s="247"/>
      <c r="BM148" s="247"/>
      <c r="BN148" s="247"/>
      <c r="BO148" s="272"/>
      <c r="BP148" s="246"/>
      <c r="BQ148" s="247"/>
      <c r="BR148" s="247"/>
      <c r="BS148" s="247"/>
      <c r="BT148" s="247"/>
      <c r="BU148" s="246"/>
      <c r="BV148" s="247"/>
      <c r="BW148" s="247"/>
      <c r="BX148" s="247"/>
      <c r="BY148" s="247"/>
      <c r="BZ148" s="246"/>
      <c r="CA148" s="247"/>
      <c r="CB148" s="247"/>
      <c r="CC148" s="247"/>
      <c r="CD148" s="247"/>
      <c r="CE148" s="246"/>
      <c r="CF148" s="247"/>
      <c r="CG148" s="247"/>
      <c r="CH148" s="247"/>
      <c r="CI148" s="247"/>
      <c r="CJ148" s="246"/>
      <c r="CK148" s="247"/>
      <c r="CL148" s="247"/>
      <c r="CM148" s="247"/>
      <c r="CN148" s="247"/>
      <c r="CO148" s="246"/>
      <c r="CP148" s="247"/>
      <c r="CQ148" s="247"/>
      <c r="CR148" s="247"/>
      <c r="CS148" s="247"/>
      <c r="CT148" s="246"/>
      <c r="CU148" s="247"/>
      <c r="CV148" s="247"/>
      <c r="CW148" s="247"/>
      <c r="CX148" s="247"/>
      <c r="CY148" s="246"/>
      <c r="CZ148" s="247"/>
      <c r="DA148" s="247"/>
      <c r="DB148" s="247"/>
      <c r="DC148" s="247"/>
      <c r="DD148" s="246"/>
      <c r="DE148" s="247"/>
      <c r="DF148" s="247"/>
      <c r="DG148" s="247"/>
      <c r="DH148" s="247"/>
      <c r="DI148" s="246"/>
      <c r="DJ148" s="247"/>
      <c r="DK148" s="247"/>
      <c r="DL148" s="247"/>
      <c r="DM148" s="247"/>
      <c r="DN148" s="246"/>
      <c r="DO148" s="247"/>
      <c r="DP148" s="247"/>
      <c r="DQ148" s="247"/>
      <c r="DR148" s="247"/>
      <c r="DS148" s="246"/>
    </row>
    <row r="149" hidden="1" outlineLevel="1" spans="2:123">
      <c r="B149" s="245" t="s">
        <v>53</v>
      </c>
      <c r="C149" s="248"/>
      <c r="D149" s="249"/>
      <c r="E149" s="249"/>
      <c r="F149" s="249"/>
      <c r="G149" s="249"/>
      <c r="H149" s="248"/>
      <c r="I149" s="249"/>
      <c r="J149" s="249"/>
      <c r="K149" s="249"/>
      <c r="L149" s="249"/>
      <c r="M149" s="248"/>
      <c r="N149" s="249">
        <f>N455</f>
        <v>11.891</v>
      </c>
      <c r="O149" s="249">
        <f>O455</f>
        <v>16.943</v>
      </c>
      <c r="P149" s="249">
        <f>P455</f>
        <v>19.278</v>
      </c>
      <c r="Q149" s="249">
        <f>Q455</f>
        <v>31.688</v>
      </c>
      <c r="R149" s="248">
        <f>SUM(N149:Q149)</f>
        <v>79.8</v>
      </c>
      <c r="S149" s="249">
        <f>S455</f>
        <v>23.217</v>
      </c>
      <c r="T149" s="249">
        <f>T455</f>
        <v>23.758</v>
      </c>
      <c r="U149" s="249">
        <f>U455</f>
        <v>21.401</v>
      </c>
      <c r="V149" s="249">
        <f>V455</f>
        <v>26.524</v>
      </c>
      <c r="W149" s="248">
        <f>SUM(S149:V149)</f>
        <v>94.9</v>
      </c>
      <c r="X149" s="249">
        <f>X455</f>
        <v>21.687</v>
      </c>
      <c r="Y149" s="249">
        <f>Y455</f>
        <v>23.548</v>
      </c>
      <c r="Z149" s="249">
        <f>Z455</f>
        <v>30.76</v>
      </c>
      <c r="AA149" s="249">
        <f>AA455</f>
        <v>45.619</v>
      </c>
      <c r="AB149" s="248">
        <f>SUM(X149:AA149)</f>
        <v>121.614</v>
      </c>
      <c r="AC149" s="249">
        <f>AC455</f>
        <v>45.955</v>
      </c>
      <c r="AD149" s="249">
        <f>AD455</f>
        <v>44.353</v>
      </c>
      <c r="AE149" s="249">
        <f>AE455</f>
        <v>50.787</v>
      </c>
      <c r="AF149" s="249">
        <f>AF455</f>
        <v>74.059</v>
      </c>
      <c r="AG149" s="248">
        <f>SUM(AC149:AF149)</f>
        <v>215.154</v>
      </c>
      <c r="AH149" s="249">
        <f>AH455</f>
        <v>59.137</v>
      </c>
      <c r="AI149" s="249">
        <f>AI455</f>
        <v>64.073</v>
      </c>
      <c r="AJ149" s="249">
        <f>AJ455</f>
        <v>66.331</v>
      </c>
      <c r="AK149" s="249">
        <f>AK455</f>
        <v>109.433</v>
      </c>
      <c r="AL149" s="248">
        <f>SUM(AH149:AK149)</f>
        <v>298.974</v>
      </c>
      <c r="AM149" s="249">
        <f>AM455</f>
        <v>77.252</v>
      </c>
      <c r="AN149" s="249">
        <f>AN455</f>
        <v>77.04</v>
      </c>
      <c r="AO149" s="249">
        <f>AO455</f>
        <v>84.699</v>
      </c>
      <c r="AP149" s="249">
        <f>AP455</f>
        <v>140.679</v>
      </c>
      <c r="AQ149" s="248">
        <f>SUM(AM149:AP149)</f>
        <v>379.67</v>
      </c>
      <c r="AR149" s="249">
        <f>AR455</f>
        <v>69.559</v>
      </c>
      <c r="AS149" s="249">
        <f>AS455</f>
        <v>83.53</v>
      </c>
      <c r="AT149" s="249">
        <f>AT455</f>
        <v>89.676</v>
      </c>
      <c r="AU149" s="249">
        <f>AU455</f>
        <v>129.866</v>
      </c>
      <c r="AV149" s="248">
        <f>SUM(AR149:AU149)</f>
        <v>372.631</v>
      </c>
      <c r="AW149" s="249">
        <f>AW455</f>
        <v>75.697</v>
      </c>
      <c r="AX149" s="249">
        <f>AX455</f>
        <v>74.891</v>
      </c>
      <c r="AY149" s="249">
        <f>AY455</f>
        <v>73.99</v>
      </c>
      <c r="AZ149" s="249">
        <f>AZ455</f>
        <v>132.011</v>
      </c>
      <c r="BA149" s="248">
        <f>SUM(AW149:AZ149)</f>
        <v>356.589</v>
      </c>
      <c r="BB149" s="249">
        <f>BB455</f>
        <v>69.223</v>
      </c>
      <c r="BC149" s="249">
        <f>BC455</f>
        <v>67.441</v>
      </c>
      <c r="BD149" s="249">
        <f>BD455</f>
        <v>70.729</v>
      </c>
      <c r="BE149" s="249">
        <f>BE455</f>
        <v>139.409</v>
      </c>
      <c r="BF149" s="248">
        <f>SUM(BB149:BE149)</f>
        <v>346.802</v>
      </c>
      <c r="BG149" s="249">
        <f>BG455</f>
        <v>73.259</v>
      </c>
      <c r="BH149" s="249">
        <f>BH455</f>
        <v>80.277</v>
      </c>
      <c r="BI149" s="249">
        <f>BI455</f>
        <v>91.497</v>
      </c>
      <c r="BJ149" s="249">
        <f>BJ455</f>
        <v>170.602</v>
      </c>
      <c r="BK149" s="248">
        <f>SUM(BG149:BJ149)</f>
        <v>415.635</v>
      </c>
      <c r="BL149" s="249">
        <f>BL455</f>
        <v>77.499</v>
      </c>
      <c r="BM149" s="249">
        <f>BM455</f>
        <v>92.609</v>
      </c>
      <c r="BN149" s="249">
        <f>BN455</f>
        <v>97.015</v>
      </c>
      <c r="BO149" s="251">
        <f>BO455</f>
        <v>197.198</v>
      </c>
      <c r="BP149" s="248">
        <f>SUM(BL149:BO149)</f>
        <v>464.321</v>
      </c>
      <c r="BQ149" s="249">
        <f>BQ455</f>
        <v>99.287</v>
      </c>
      <c r="BR149" s="249">
        <f>BR455</f>
        <v>125.868</v>
      </c>
      <c r="BS149" s="249">
        <f>BS455</f>
        <v>117.804</v>
      </c>
      <c r="BT149" s="249">
        <f>BT455</f>
        <v>232.577</v>
      </c>
      <c r="BU149" s="248">
        <f>SUM(BQ149:BT149)</f>
        <v>575.536</v>
      </c>
      <c r="BV149" s="249">
        <f>BV455</f>
        <v>120.907</v>
      </c>
      <c r="BW149" s="249">
        <f>BW455</f>
        <v>154.332</v>
      </c>
      <c r="BX149" s="249">
        <f>BX455</f>
        <v>147.734</v>
      </c>
      <c r="BY149" s="249">
        <f>BY455</f>
        <v>266.366</v>
      </c>
      <c r="BZ149" s="248">
        <f>SUM(BV149:BY149)</f>
        <v>689.339</v>
      </c>
      <c r="CA149" s="249">
        <f>CA455</f>
        <v>-30.154</v>
      </c>
      <c r="CB149" s="249">
        <f>CB455</f>
        <v>-5.293</v>
      </c>
      <c r="CC149" s="249">
        <f>CC455</f>
        <v>111.78</v>
      </c>
      <c r="CD149" s="249">
        <f>CD455</f>
        <v>136.259</v>
      </c>
      <c r="CE149" s="248">
        <f>SUM(CA149:CD149)</f>
        <v>212.592</v>
      </c>
      <c r="CF149" s="249">
        <f>CF455</f>
        <v>99.148</v>
      </c>
      <c r="CG149" s="249">
        <f>CG455</f>
        <v>184.996</v>
      </c>
      <c r="CH149" s="249">
        <f>CH455</f>
        <v>180.7</v>
      </c>
      <c r="CI149" s="249">
        <f>CI455</f>
        <v>262.891</v>
      </c>
      <c r="CJ149" s="248">
        <f>SUM(CF149:CI149)</f>
        <v>727.735</v>
      </c>
      <c r="CK149" s="249">
        <f>CK455</f>
        <v>160.706</v>
      </c>
      <c r="CL149" s="249">
        <f>CL455</f>
        <v>256.807</v>
      </c>
      <c r="CM149" s="249">
        <f>CM455</f>
        <v>242.733</v>
      </c>
      <c r="CN149" s="249">
        <f>CN455</f>
        <v>330.821</v>
      </c>
      <c r="CO149" s="248">
        <f>SUM(CK149:CN149)</f>
        <v>991.067</v>
      </c>
      <c r="CP149" s="249">
        <f>CP455</f>
        <v>259.819</v>
      </c>
      <c r="CQ149" s="249">
        <f>CQ455</f>
        <v>339.692</v>
      </c>
      <c r="CR149" s="249">
        <f>CR455</f>
        <v>310.51</v>
      </c>
      <c r="CS149" s="273">
        <f>CS455</f>
        <v>400</v>
      </c>
      <c r="CT149" s="274">
        <f>SUM(CP149:CS149)</f>
        <v>1310.021</v>
      </c>
      <c r="CU149" s="249"/>
      <c r="CV149" s="249"/>
      <c r="CW149" s="249"/>
      <c r="CX149" s="249"/>
      <c r="CY149" s="248"/>
      <c r="CZ149" s="249"/>
      <c r="DA149" s="249"/>
      <c r="DB149" s="249"/>
      <c r="DC149" s="249"/>
      <c r="DD149" s="248"/>
      <c r="DE149" s="249"/>
      <c r="DF149" s="249"/>
      <c r="DG149" s="249"/>
      <c r="DH149" s="249"/>
      <c r="DI149" s="248"/>
      <c r="DJ149" s="249"/>
      <c r="DK149" s="249"/>
      <c r="DL149" s="249"/>
      <c r="DM149" s="249"/>
      <c r="DN149" s="248"/>
      <c r="DO149" s="249"/>
      <c r="DP149" s="249"/>
      <c r="DQ149" s="249"/>
      <c r="DR149" s="249"/>
      <c r="DS149" s="248"/>
    </row>
    <row r="150" hidden="1" outlineLevel="1" spans="2:123">
      <c r="B150" s="245" t="s">
        <v>54</v>
      </c>
      <c r="C150" s="248"/>
      <c r="D150" s="249"/>
      <c r="E150" s="249"/>
      <c r="F150" s="249"/>
      <c r="G150" s="249"/>
      <c r="H150" s="248"/>
      <c r="I150" s="249"/>
      <c r="J150" s="249"/>
      <c r="K150" s="249"/>
      <c r="L150" s="249"/>
      <c r="M150" s="248"/>
      <c r="N150" s="249">
        <f>N470</f>
        <v>0</v>
      </c>
      <c r="O150" s="249">
        <f>O470</f>
        <v>0</v>
      </c>
      <c r="P150" s="249">
        <f>P470</f>
        <v>0</v>
      </c>
      <c r="Q150" s="249">
        <f>Q470</f>
        <v>0</v>
      </c>
      <c r="R150" s="248">
        <f>SUM(N150:Q150)</f>
        <v>0</v>
      </c>
      <c r="S150" s="249">
        <f>S470</f>
        <v>0</v>
      </c>
      <c r="T150" s="249">
        <f>T470</f>
        <v>0</v>
      </c>
      <c r="U150" s="249">
        <f>U470</f>
        <v>0</v>
      </c>
      <c r="V150" s="249">
        <f>V470</f>
        <v>0</v>
      </c>
      <c r="W150" s="248">
        <f>SUM(S150:V150)</f>
        <v>0</v>
      </c>
      <c r="X150" s="249">
        <f>X470</f>
        <v>0.365</v>
      </c>
      <c r="Y150" s="249">
        <f>Y470</f>
        <v>1.199</v>
      </c>
      <c r="Z150" s="249">
        <f>Z470</f>
        <v>1.811</v>
      </c>
      <c r="AA150" s="249">
        <f>AA470</f>
        <v>2.913</v>
      </c>
      <c r="AB150" s="248">
        <f>SUM(X150:AA150)</f>
        <v>6.288</v>
      </c>
      <c r="AC150" s="249">
        <f>AC470</f>
        <v>3.242</v>
      </c>
      <c r="AD150" s="249">
        <f>AD470</f>
        <v>2.817</v>
      </c>
      <c r="AE150" s="249">
        <f>AE470</f>
        <v>3.901</v>
      </c>
      <c r="AF150" s="249">
        <f>AF470</f>
        <v>6.404</v>
      </c>
      <c r="AG150" s="248">
        <f>SUM(AC150:AF150)</f>
        <v>16.364</v>
      </c>
      <c r="AH150" s="249">
        <f>AH470</f>
        <v>4.291</v>
      </c>
      <c r="AI150" s="249">
        <f>AI470</f>
        <v>8.178</v>
      </c>
      <c r="AJ150" s="249">
        <f>AJ470</f>
        <v>9.098</v>
      </c>
      <c r="AK150" s="249">
        <f>AK470</f>
        <v>22.601</v>
      </c>
      <c r="AL150" s="248">
        <f>SUM(AH150:AK150)</f>
        <v>44.168</v>
      </c>
      <c r="AM150" s="249">
        <f>AM470</f>
        <v>17.057</v>
      </c>
      <c r="AN150" s="249">
        <f>AN470</f>
        <v>14.085</v>
      </c>
      <c r="AO150" s="249">
        <f>AO470</f>
        <v>18.373</v>
      </c>
      <c r="AP150" s="249">
        <f>AP470</f>
        <v>33.432</v>
      </c>
      <c r="AQ150" s="248">
        <f>SUM(AM150:AP150)</f>
        <v>82.947</v>
      </c>
      <c r="AR150" s="249">
        <f>AR470</f>
        <v>21.216</v>
      </c>
      <c r="AS150" s="249">
        <f>AS470</f>
        <v>20.633</v>
      </c>
      <c r="AT150" s="249">
        <f>AT470</f>
        <v>27.98</v>
      </c>
      <c r="AU150" s="249">
        <f>AU470</f>
        <v>39.74</v>
      </c>
      <c r="AV150" s="248">
        <f>SUM(AR150:AU150)</f>
        <v>109.569</v>
      </c>
      <c r="AW150" s="249">
        <f>AW470</f>
        <v>27.117</v>
      </c>
      <c r="AX150" s="249">
        <f>AX470</f>
        <v>24.087</v>
      </c>
      <c r="AY150" s="249">
        <f>AY470</f>
        <v>32.292</v>
      </c>
      <c r="AZ150" s="249">
        <f>AZ470</f>
        <v>49.381</v>
      </c>
      <c r="BA150" s="248">
        <f>SUM(AW150:AZ150)</f>
        <v>132.877</v>
      </c>
      <c r="BB150" s="249">
        <f>BB470</f>
        <v>34.871</v>
      </c>
      <c r="BC150" s="249">
        <f>BC470</f>
        <v>32.25</v>
      </c>
      <c r="BD150" s="249">
        <f>BD470</f>
        <v>37.985</v>
      </c>
      <c r="BE150" s="249">
        <f>BE470</f>
        <v>61.312</v>
      </c>
      <c r="BF150" s="248">
        <f>SUM(BB150:BE150)</f>
        <v>166.418</v>
      </c>
      <c r="BG150" s="249">
        <f>BG470</f>
        <v>38.551</v>
      </c>
      <c r="BH150" s="249">
        <f>BH470</f>
        <v>32.644</v>
      </c>
      <c r="BI150" s="249">
        <f>BI470</f>
        <v>43.588</v>
      </c>
      <c r="BJ150" s="249">
        <f>BJ470</f>
        <v>71.395</v>
      </c>
      <c r="BK150" s="248">
        <f>SUM(BG150:BJ150)</f>
        <v>186.178</v>
      </c>
      <c r="BL150" s="249">
        <f>BL470</f>
        <v>35.442</v>
      </c>
      <c r="BM150" s="249">
        <f>BM470</f>
        <v>40.139</v>
      </c>
      <c r="BN150" s="249">
        <f>BN470</f>
        <v>52.201</v>
      </c>
      <c r="BO150" s="251">
        <f>BO470</f>
        <v>103.513</v>
      </c>
      <c r="BP150" s="248">
        <f>SUM(BL150:BO150)</f>
        <v>231.295</v>
      </c>
      <c r="BQ150" s="249">
        <f>BQ470</f>
        <v>62.267</v>
      </c>
      <c r="BR150" s="249">
        <f>BR470</f>
        <v>67.033</v>
      </c>
      <c r="BS150" s="249">
        <f>BS470</f>
        <v>76.435</v>
      </c>
      <c r="BT150" s="249">
        <f>BT470</f>
        <v>148.372</v>
      </c>
      <c r="BU150" s="248">
        <f>SUM(BQ150:BT150)</f>
        <v>354.107</v>
      </c>
      <c r="BV150" s="249">
        <f>BV470</f>
        <v>78.675</v>
      </c>
      <c r="BW150" s="249">
        <f>BW470</f>
        <v>86.081</v>
      </c>
      <c r="BX150" s="249">
        <f>BX470</f>
        <v>103.282</v>
      </c>
      <c r="BY150" s="249">
        <f>BY470</f>
        <v>214.33</v>
      </c>
      <c r="BZ150" s="248">
        <f>SUM(BV150:BY150)</f>
        <v>482.368</v>
      </c>
      <c r="CA150" s="249">
        <f>CA470</f>
        <v>156.947</v>
      </c>
      <c r="CB150" s="249">
        <f>CB470</f>
        <v>237.595</v>
      </c>
      <c r="CC150" s="249">
        <f>CC470</f>
        <v>209.61</v>
      </c>
      <c r="CD150" s="249">
        <f>CD470</f>
        <v>424.95</v>
      </c>
      <c r="CE150" s="248">
        <f>SUM(CA150:CD150)</f>
        <v>1029.102</v>
      </c>
      <c r="CF150" s="249">
        <f>CF470</f>
        <v>236.933</v>
      </c>
      <c r="CG150" s="249">
        <f>CG470</f>
        <v>260.248</v>
      </c>
      <c r="CH150" s="249">
        <f>CH470</f>
        <v>257.05</v>
      </c>
      <c r="CI150" s="249">
        <f>CI470</f>
        <v>462.265</v>
      </c>
      <c r="CJ150" s="248">
        <f>SUM(CF150:CI150)</f>
        <v>1216.496</v>
      </c>
      <c r="CK150" s="249">
        <f>CK470</f>
        <v>285.107</v>
      </c>
      <c r="CL150" s="249">
        <f>CL470</f>
        <v>326.423</v>
      </c>
      <c r="CM150" s="249">
        <f>CM470</f>
        <v>321.742</v>
      </c>
      <c r="CN150" s="249">
        <f>CN470</f>
        <v>629.266</v>
      </c>
      <c r="CO150" s="248">
        <f>SUM(CK150:CN150)</f>
        <v>1562.538</v>
      </c>
      <c r="CP150" s="249">
        <f>CP470</f>
        <v>369.453</v>
      </c>
      <c r="CQ150" s="249">
        <f>CQ470</f>
        <v>383.87</v>
      </c>
      <c r="CR150" s="249">
        <f>CR470</f>
        <v>384.393</v>
      </c>
      <c r="CS150" s="273">
        <f>CS470</f>
        <v>750</v>
      </c>
      <c r="CT150" s="274">
        <f>SUM(CP150:CS150)</f>
        <v>1887.716</v>
      </c>
      <c r="CU150" s="249"/>
      <c r="CV150" s="249"/>
      <c r="CW150" s="249"/>
      <c r="CX150" s="249"/>
      <c r="CY150" s="248"/>
      <c r="CZ150" s="249"/>
      <c r="DA150" s="249"/>
      <c r="DB150" s="249"/>
      <c r="DC150" s="249"/>
      <c r="DD150" s="248"/>
      <c r="DE150" s="249"/>
      <c r="DF150" s="249"/>
      <c r="DG150" s="249"/>
      <c r="DH150" s="249"/>
      <c r="DI150" s="248"/>
      <c r="DJ150" s="249"/>
      <c r="DK150" s="249"/>
      <c r="DL150" s="249"/>
      <c r="DM150" s="249"/>
      <c r="DN150" s="248"/>
      <c r="DO150" s="249"/>
      <c r="DP150" s="249"/>
      <c r="DQ150" s="249"/>
      <c r="DR150" s="249"/>
      <c r="DS150" s="248"/>
    </row>
    <row r="151" ht="15.75" hidden="1" customHeight="1" outlineLevel="1" spans="2:123">
      <c r="B151" s="245" t="s">
        <v>55</v>
      </c>
      <c r="C151" s="248"/>
      <c r="D151" s="249"/>
      <c r="E151" s="249"/>
      <c r="F151" s="249"/>
      <c r="G151" s="249"/>
      <c r="H151" s="248"/>
      <c r="I151" s="249"/>
      <c r="J151" s="249"/>
      <c r="K151" s="249"/>
      <c r="L151" s="249"/>
      <c r="M151" s="248"/>
      <c r="N151" s="249">
        <f>N484</f>
        <v>3.157</v>
      </c>
      <c r="O151" s="249">
        <f>O484</f>
        <v>2.061</v>
      </c>
      <c r="P151" s="249">
        <f>P484</f>
        <v>2.03</v>
      </c>
      <c r="Q151" s="249">
        <f>Q484</f>
        <v>7.152</v>
      </c>
      <c r="R151" s="248">
        <f>SUM(N151:Q151)</f>
        <v>14.4</v>
      </c>
      <c r="S151" s="249">
        <f>S484</f>
        <v>3.875</v>
      </c>
      <c r="T151" s="249">
        <f>T484</f>
        <v>2.963</v>
      </c>
      <c r="U151" s="249">
        <f>U484</f>
        <v>2.58</v>
      </c>
      <c r="V151" s="249">
        <f>V484</f>
        <v>9.982</v>
      </c>
      <c r="W151" s="248">
        <f>SUM(S151:V151)</f>
        <v>19.4</v>
      </c>
      <c r="X151" s="249">
        <f>X484</f>
        <v>2.198</v>
      </c>
      <c r="Y151" s="249">
        <f>Y484</f>
        <v>2.818</v>
      </c>
      <c r="Z151" s="249">
        <f>Z484</f>
        <v>2.776</v>
      </c>
      <c r="AA151" s="249">
        <f>AA484</f>
        <v>3.053</v>
      </c>
      <c r="AB151" s="248">
        <f>SUM(X151:AA151)</f>
        <v>10.845</v>
      </c>
      <c r="AC151" s="249">
        <f>AC484</f>
        <v>4.632</v>
      </c>
      <c r="AD151" s="249">
        <f>AD484</f>
        <v>3.31</v>
      </c>
      <c r="AE151" s="249">
        <f>AE484</f>
        <v>5.543</v>
      </c>
      <c r="AF151" s="249">
        <f>AF484</f>
        <v>4.519</v>
      </c>
      <c r="AG151" s="248">
        <f>SUM(AC151:AF151)</f>
        <v>18.004</v>
      </c>
      <c r="AH151" s="249">
        <f>AH484</f>
        <v>4.993</v>
      </c>
      <c r="AI151" s="249">
        <f>AI484</f>
        <v>4.704</v>
      </c>
      <c r="AJ151" s="249">
        <f>AJ484</f>
        <v>3.663</v>
      </c>
      <c r="AK151" s="249">
        <f>AK484</f>
        <v>7.865</v>
      </c>
      <c r="AL151" s="248">
        <f>SUM(AH151:AK151)</f>
        <v>21.225</v>
      </c>
      <c r="AM151" s="249">
        <f>AM484</f>
        <v>3.856</v>
      </c>
      <c r="AN151" s="249">
        <f>AN484</f>
        <v>3.008</v>
      </c>
      <c r="AO151" s="249">
        <f>AO484</f>
        <v>4.049</v>
      </c>
      <c r="AP151" s="249">
        <f>AP484</f>
        <v>6.457</v>
      </c>
      <c r="AQ151" s="248">
        <f>SUM(AM151:AP151)</f>
        <v>17.37</v>
      </c>
      <c r="AR151" s="249">
        <f>AR484</f>
        <v>4.404</v>
      </c>
      <c r="AS151" s="249">
        <f>AS484</f>
        <v>3.325</v>
      </c>
      <c r="AT151" s="249">
        <f>AT484</f>
        <v>4.597</v>
      </c>
      <c r="AU151" s="249">
        <f>AU484</f>
        <v>3.781</v>
      </c>
      <c r="AV151" s="248">
        <f>SUM(AR151:AU151)</f>
        <v>16.107</v>
      </c>
      <c r="AW151" s="249">
        <f>AW484</f>
        <v>3.276</v>
      </c>
      <c r="AX151" s="249">
        <f>AX484</f>
        <v>3.496</v>
      </c>
      <c r="AY151" s="249">
        <f>AY484</f>
        <v>3.279</v>
      </c>
      <c r="AZ151" s="249">
        <f>AZ484</f>
        <v>-0.552</v>
      </c>
      <c r="BA151" s="248">
        <f>SUM(AW151:AZ151)</f>
        <v>9.499</v>
      </c>
      <c r="BB151" s="249">
        <f>BB484</f>
        <v>0.981</v>
      </c>
      <c r="BC151" s="249">
        <f>BC484</f>
        <v>1.82</v>
      </c>
      <c r="BD151" s="249">
        <f>BD484</f>
        <v>1.569</v>
      </c>
      <c r="BE151" s="249">
        <f>BE484</f>
        <v>1.456</v>
      </c>
      <c r="BF151" s="248">
        <f>SUM(BB151:BE151)</f>
        <v>5.826</v>
      </c>
      <c r="BG151" s="249">
        <f>BG484</f>
        <v>2.069</v>
      </c>
      <c r="BH151" s="249">
        <f>BH484</f>
        <v>4.636</v>
      </c>
      <c r="BI151" s="249">
        <f>BI484</f>
        <v>5.709</v>
      </c>
      <c r="BJ151" s="249">
        <f>BJ484</f>
        <v>9.898</v>
      </c>
      <c r="BK151" s="248">
        <f>SUM(BG151:BJ151)</f>
        <v>22.312</v>
      </c>
      <c r="BL151" s="249">
        <f>BL484</f>
        <v>2.836</v>
      </c>
      <c r="BM151" s="249">
        <f>BM484</f>
        <v>6.952</v>
      </c>
      <c r="BN151" s="249">
        <f>BN484</f>
        <v>9.319</v>
      </c>
      <c r="BO151" s="251">
        <f>BO484</f>
        <v>16.473</v>
      </c>
      <c r="BP151" s="248">
        <f>SUM(BL151:BO151)</f>
        <v>35.58</v>
      </c>
      <c r="BQ151" s="249">
        <f>BQ484</f>
        <v>11.223</v>
      </c>
      <c r="BR151" s="249">
        <f>BR484</f>
        <v>13.094</v>
      </c>
      <c r="BS151" s="249">
        <f>BS484</f>
        <v>15.019</v>
      </c>
      <c r="BT151" s="249">
        <f>BT484</f>
        <v>23.252</v>
      </c>
      <c r="BU151" s="248">
        <f>SUM(BQ151:BT151)</f>
        <v>62.588</v>
      </c>
      <c r="BV151" s="249">
        <f>BV484</f>
        <v>12.633</v>
      </c>
      <c r="BW151" s="249">
        <f>BW484</f>
        <v>16.619</v>
      </c>
      <c r="BX151" s="249">
        <f>BX484</f>
        <v>16.944</v>
      </c>
      <c r="BY151" s="249">
        <f>BY484</f>
        <v>26.363</v>
      </c>
      <c r="BZ151" s="248">
        <f>SUM(BV151:BY151)</f>
        <v>72.559</v>
      </c>
      <c r="CA151" s="249">
        <f>CA484</f>
        <v>-0.269</v>
      </c>
      <c r="CB151" s="249">
        <f>CB484</f>
        <v>2.587</v>
      </c>
      <c r="CC151" s="249">
        <f>CC484</f>
        <v>1.304</v>
      </c>
      <c r="CD151" s="249">
        <f>CD484</f>
        <v>6.88</v>
      </c>
      <c r="CE151" s="248">
        <f>SUM(CA151:CD151)</f>
        <v>10.502</v>
      </c>
      <c r="CF151" s="249">
        <f>CF484</f>
        <v>14.506</v>
      </c>
      <c r="CG151" s="249">
        <f>CG484</f>
        <v>22.24</v>
      </c>
      <c r="CH151" s="249">
        <f>CH484</f>
        <v>27.45</v>
      </c>
      <c r="CI151" s="249">
        <f>CI484</f>
        <v>13.087</v>
      </c>
      <c r="CJ151" s="248">
        <f>SUM(CF151:CI151)</f>
        <v>77.283</v>
      </c>
      <c r="CK151" s="249">
        <f>CK484</f>
        <v>19.527</v>
      </c>
      <c r="CL151" s="249">
        <f>CL484</f>
        <v>29.626</v>
      </c>
      <c r="CM151" s="249">
        <f>CM484</f>
        <v>24.911</v>
      </c>
      <c r="CN151" s="249">
        <f>CN484</f>
        <v>33.019</v>
      </c>
      <c r="CO151" s="248">
        <f>SUM(CK151:CN151)</f>
        <v>107.083</v>
      </c>
      <c r="CP151" s="249">
        <f>CP484</f>
        <v>44.083</v>
      </c>
      <c r="CQ151" s="249">
        <f>CQ484</f>
        <v>48.683</v>
      </c>
      <c r="CR151" s="249">
        <f>CR484</f>
        <v>53.527</v>
      </c>
      <c r="CS151" s="273">
        <f>CS484</f>
        <v>36.3</v>
      </c>
      <c r="CT151" s="274">
        <f>SUM(CP151:CS151)</f>
        <v>182.593</v>
      </c>
      <c r="CU151" s="249"/>
      <c r="CV151" s="249"/>
      <c r="CW151" s="249"/>
      <c r="CX151" s="249"/>
      <c r="CY151" s="248"/>
      <c r="CZ151" s="249"/>
      <c r="DA151" s="249"/>
      <c r="DB151" s="249"/>
      <c r="DC151" s="249"/>
      <c r="DD151" s="248"/>
      <c r="DE151" s="249"/>
      <c r="DF151" s="249"/>
      <c r="DG151" s="249"/>
      <c r="DH151" s="249"/>
      <c r="DI151" s="248"/>
      <c r="DJ151" s="249"/>
      <c r="DK151" s="249"/>
      <c r="DL151" s="249"/>
      <c r="DM151" s="249"/>
      <c r="DN151" s="248"/>
      <c r="DO151" s="249"/>
      <c r="DP151" s="249"/>
      <c r="DQ151" s="249"/>
      <c r="DR151" s="249"/>
      <c r="DS151" s="248"/>
    </row>
    <row r="152" s="3" customFormat="1" hidden="1" outlineLevel="1" spans="2:123">
      <c r="B152" s="263" t="s">
        <v>364</v>
      </c>
      <c r="C152" s="264"/>
      <c r="D152" s="265"/>
      <c r="E152" s="265"/>
      <c r="F152" s="265"/>
      <c r="G152" s="265"/>
      <c r="H152" s="264"/>
      <c r="I152" s="265"/>
      <c r="J152" s="265"/>
      <c r="K152" s="265"/>
      <c r="L152" s="265"/>
      <c r="M152" s="264"/>
      <c r="N152" s="265">
        <f t="shared" ref="N152:AS152" si="955">SUM(N149:N151)</f>
        <v>15.048</v>
      </c>
      <c r="O152" s="265">
        <f t="shared" si="955"/>
        <v>19.004</v>
      </c>
      <c r="P152" s="265">
        <f t="shared" si="955"/>
        <v>21.308</v>
      </c>
      <c r="Q152" s="265">
        <f t="shared" si="955"/>
        <v>38.84</v>
      </c>
      <c r="R152" s="264">
        <f t="shared" si="955"/>
        <v>94.2</v>
      </c>
      <c r="S152" s="265">
        <f t="shared" si="955"/>
        <v>27.092</v>
      </c>
      <c r="T152" s="265">
        <f t="shared" si="955"/>
        <v>26.721</v>
      </c>
      <c r="U152" s="265">
        <f t="shared" si="955"/>
        <v>23.981</v>
      </c>
      <c r="V152" s="265">
        <f t="shared" si="955"/>
        <v>36.506</v>
      </c>
      <c r="W152" s="264">
        <f t="shared" si="955"/>
        <v>114.3</v>
      </c>
      <c r="X152" s="265">
        <f t="shared" si="955"/>
        <v>24.25</v>
      </c>
      <c r="Y152" s="265">
        <f t="shared" si="955"/>
        <v>27.565</v>
      </c>
      <c r="Z152" s="265">
        <f t="shared" si="955"/>
        <v>35.347</v>
      </c>
      <c r="AA152" s="265">
        <f t="shared" si="955"/>
        <v>51.585</v>
      </c>
      <c r="AB152" s="264">
        <f t="shared" si="955"/>
        <v>138.747</v>
      </c>
      <c r="AC152" s="265">
        <f t="shared" si="955"/>
        <v>53.829</v>
      </c>
      <c r="AD152" s="265">
        <f t="shared" si="955"/>
        <v>50.48</v>
      </c>
      <c r="AE152" s="265">
        <f t="shared" si="955"/>
        <v>60.231</v>
      </c>
      <c r="AF152" s="265">
        <f t="shared" si="955"/>
        <v>84.982</v>
      </c>
      <c r="AG152" s="264">
        <f t="shared" si="955"/>
        <v>249.522</v>
      </c>
      <c r="AH152" s="265">
        <f t="shared" si="955"/>
        <v>68.421</v>
      </c>
      <c r="AI152" s="265">
        <f t="shared" si="955"/>
        <v>76.955</v>
      </c>
      <c r="AJ152" s="265">
        <f t="shared" si="955"/>
        <v>79.092</v>
      </c>
      <c r="AK152" s="265">
        <f t="shared" si="955"/>
        <v>139.899</v>
      </c>
      <c r="AL152" s="264">
        <f t="shared" si="955"/>
        <v>364.367</v>
      </c>
      <c r="AM152" s="265">
        <f t="shared" si="955"/>
        <v>98.165</v>
      </c>
      <c r="AN152" s="265">
        <f t="shared" si="955"/>
        <v>94.133</v>
      </c>
      <c r="AO152" s="265">
        <f t="shared" si="955"/>
        <v>107.121</v>
      </c>
      <c r="AP152" s="265">
        <f t="shared" si="955"/>
        <v>180.568</v>
      </c>
      <c r="AQ152" s="264">
        <f t="shared" si="955"/>
        <v>479.987</v>
      </c>
      <c r="AR152" s="265">
        <f t="shared" si="955"/>
        <v>95.179</v>
      </c>
      <c r="AS152" s="265">
        <f t="shared" si="955"/>
        <v>107.488</v>
      </c>
      <c r="AT152" s="265">
        <f t="shared" ref="AT152:BY152" si="956">SUM(AT149:AT151)</f>
        <v>122.253</v>
      </c>
      <c r="AU152" s="265">
        <f t="shared" si="956"/>
        <v>173.387</v>
      </c>
      <c r="AV152" s="264">
        <f t="shared" si="956"/>
        <v>498.307</v>
      </c>
      <c r="AW152" s="265">
        <f t="shared" si="956"/>
        <v>106.09</v>
      </c>
      <c r="AX152" s="265">
        <f t="shared" si="956"/>
        <v>102.474</v>
      </c>
      <c r="AY152" s="265">
        <f t="shared" si="956"/>
        <v>109.561</v>
      </c>
      <c r="AZ152" s="265">
        <f t="shared" si="956"/>
        <v>180.84</v>
      </c>
      <c r="BA152" s="264">
        <f t="shared" si="956"/>
        <v>498.965</v>
      </c>
      <c r="BB152" s="265">
        <f t="shared" si="956"/>
        <v>105.075</v>
      </c>
      <c r="BC152" s="265">
        <f t="shared" si="956"/>
        <v>101.511</v>
      </c>
      <c r="BD152" s="265">
        <f t="shared" si="956"/>
        <v>110.283</v>
      </c>
      <c r="BE152" s="265">
        <f t="shared" si="956"/>
        <v>202.177</v>
      </c>
      <c r="BF152" s="264">
        <f t="shared" si="956"/>
        <v>519.046</v>
      </c>
      <c r="BG152" s="265">
        <f t="shared" si="956"/>
        <v>113.879</v>
      </c>
      <c r="BH152" s="265">
        <f t="shared" si="956"/>
        <v>117.557</v>
      </c>
      <c r="BI152" s="265">
        <f t="shared" si="956"/>
        <v>140.794</v>
      </c>
      <c r="BJ152" s="265">
        <f t="shared" si="956"/>
        <v>251.895</v>
      </c>
      <c r="BK152" s="264">
        <f t="shared" si="956"/>
        <v>624.125</v>
      </c>
      <c r="BL152" s="265">
        <f t="shared" si="956"/>
        <v>115.777</v>
      </c>
      <c r="BM152" s="265">
        <f t="shared" si="956"/>
        <v>139.7</v>
      </c>
      <c r="BN152" s="265">
        <f t="shared" si="956"/>
        <v>158.535</v>
      </c>
      <c r="BO152" s="271">
        <f t="shared" si="956"/>
        <v>317.184</v>
      </c>
      <c r="BP152" s="264">
        <f t="shared" si="956"/>
        <v>731.196</v>
      </c>
      <c r="BQ152" s="265">
        <f t="shared" si="956"/>
        <v>172.777</v>
      </c>
      <c r="BR152" s="265">
        <f t="shared" si="956"/>
        <v>205.995</v>
      </c>
      <c r="BS152" s="265">
        <f t="shared" si="956"/>
        <v>209.258</v>
      </c>
      <c r="BT152" s="265">
        <f t="shared" si="956"/>
        <v>404.201</v>
      </c>
      <c r="BU152" s="264">
        <f t="shared" si="956"/>
        <v>992.231</v>
      </c>
      <c r="BV152" s="265">
        <f t="shared" si="956"/>
        <v>212.215</v>
      </c>
      <c r="BW152" s="265">
        <f t="shared" si="956"/>
        <v>257.032</v>
      </c>
      <c r="BX152" s="265">
        <f t="shared" si="956"/>
        <v>267.96</v>
      </c>
      <c r="BY152" s="265">
        <f t="shared" si="956"/>
        <v>507.059</v>
      </c>
      <c r="BZ152" s="264">
        <f t="shared" ref="BZ152:CT152" si="957">SUM(BZ149:BZ151)</f>
        <v>1244.266</v>
      </c>
      <c r="CA152" s="265">
        <f t="shared" si="957"/>
        <v>126.524</v>
      </c>
      <c r="CB152" s="265">
        <f t="shared" si="957"/>
        <v>234.889</v>
      </c>
      <c r="CC152" s="265">
        <f t="shared" si="957"/>
        <v>322.694</v>
      </c>
      <c r="CD152" s="265">
        <f t="shared" si="957"/>
        <v>568.089</v>
      </c>
      <c r="CE152" s="264">
        <f t="shared" si="957"/>
        <v>1252.196</v>
      </c>
      <c r="CF152" s="265">
        <f t="shared" si="957"/>
        <v>350.587</v>
      </c>
      <c r="CG152" s="265">
        <f t="shared" si="957"/>
        <v>467.484</v>
      </c>
      <c r="CH152" s="265">
        <f t="shared" si="957"/>
        <v>465.2</v>
      </c>
      <c r="CI152" s="265">
        <f t="shared" si="957"/>
        <v>738.243</v>
      </c>
      <c r="CJ152" s="264">
        <f t="shared" si="957"/>
        <v>2021.514</v>
      </c>
      <c r="CK152" s="265">
        <f t="shared" si="957"/>
        <v>465.34</v>
      </c>
      <c r="CL152" s="265">
        <f t="shared" si="957"/>
        <v>612.856</v>
      </c>
      <c r="CM152" s="265">
        <f t="shared" si="957"/>
        <v>589.386</v>
      </c>
      <c r="CN152" s="265">
        <f t="shared" si="957"/>
        <v>993.106</v>
      </c>
      <c r="CO152" s="264">
        <f t="shared" si="957"/>
        <v>2660.688</v>
      </c>
      <c r="CP152" s="265">
        <f t="shared" si="957"/>
        <v>673.355</v>
      </c>
      <c r="CQ152" s="265">
        <f t="shared" si="957"/>
        <v>772.245</v>
      </c>
      <c r="CR152" s="265">
        <f t="shared" si="957"/>
        <v>748.43</v>
      </c>
      <c r="CS152" s="265">
        <f t="shared" si="957"/>
        <v>1186.3</v>
      </c>
      <c r="CT152" s="264">
        <f t="shared" si="957"/>
        <v>3380.33</v>
      </c>
      <c r="CU152" s="265"/>
      <c r="CV152" s="265"/>
      <c r="CW152" s="265"/>
      <c r="CX152" s="265"/>
      <c r="CY152" s="264"/>
      <c r="CZ152" s="265"/>
      <c r="DA152" s="265"/>
      <c r="DB152" s="265"/>
      <c r="DC152" s="265"/>
      <c r="DD152" s="264"/>
      <c r="DE152" s="265"/>
      <c r="DF152" s="265"/>
      <c r="DG152" s="265"/>
      <c r="DH152" s="265"/>
      <c r="DI152" s="264"/>
      <c r="DJ152" s="265"/>
      <c r="DK152" s="265"/>
      <c r="DL152" s="265"/>
      <c r="DM152" s="265"/>
      <c r="DN152" s="264"/>
      <c r="DO152" s="265"/>
      <c r="DP152" s="265"/>
      <c r="DQ152" s="265"/>
      <c r="DR152" s="265"/>
      <c r="DS152" s="264"/>
    </row>
    <row r="153" s="3" customFormat="1" hidden="1" outlineLevel="1" spans="2:123">
      <c r="B153" s="149" t="s">
        <v>69</v>
      </c>
      <c r="C153" s="252"/>
      <c r="D153" s="253"/>
      <c r="E153" s="253"/>
      <c r="F153" s="253"/>
      <c r="G153" s="253"/>
      <c r="H153" s="254"/>
      <c r="I153" s="255"/>
      <c r="J153" s="255"/>
      <c r="K153" s="255"/>
      <c r="L153" s="255"/>
      <c r="M153" s="254"/>
      <c r="N153" s="255"/>
      <c r="O153" s="255"/>
      <c r="P153" s="255"/>
      <c r="Q153" s="255"/>
      <c r="R153" s="254"/>
      <c r="S153" s="255">
        <f t="shared" ref="S153:AX153" si="958">S152/N152-1</f>
        <v>0.800372142477406</v>
      </c>
      <c r="T153" s="255">
        <f t="shared" si="958"/>
        <v>0.406072405809303</v>
      </c>
      <c r="U153" s="255">
        <f t="shared" si="958"/>
        <v>0.125445841937301</v>
      </c>
      <c r="V153" s="255">
        <f t="shared" si="958"/>
        <v>-0.060092687950566</v>
      </c>
      <c r="W153" s="254">
        <f t="shared" si="958"/>
        <v>0.213375796178344</v>
      </c>
      <c r="X153" s="255">
        <f t="shared" si="958"/>
        <v>-0.104901816034254</v>
      </c>
      <c r="Y153" s="255">
        <f t="shared" si="958"/>
        <v>0.031585644249841</v>
      </c>
      <c r="Z153" s="255">
        <f t="shared" si="958"/>
        <v>0.473958550519161</v>
      </c>
      <c r="AA153" s="255">
        <f t="shared" si="958"/>
        <v>0.413055388155371</v>
      </c>
      <c r="AB153" s="254">
        <f t="shared" si="958"/>
        <v>0.213884514435696</v>
      </c>
      <c r="AC153" s="255">
        <f t="shared" si="958"/>
        <v>1.21975257731959</v>
      </c>
      <c r="AD153" s="255">
        <f t="shared" si="958"/>
        <v>0.831307817884999</v>
      </c>
      <c r="AE153" s="255">
        <f t="shared" si="958"/>
        <v>0.703991852208109</v>
      </c>
      <c r="AF153" s="255">
        <f t="shared" si="958"/>
        <v>0.64741688475332</v>
      </c>
      <c r="AG153" s="254">
        <f t="shared" si="958"/>
        <v>0.798395640986832</v>
      </c>
      <c r="AH153" s="255">
        <f t="shared" si="958"/>
        <v>0.271080644262387</v>
      </c>
      <c r="AI153" s="255">
        <f t="shared" si="958"/>
        <v>0.524465134706814</v>
      </c>
      <c r="AJ153" s="255">
        <f t="shared" si="958"/>
        <v>0.313144394082781</v>
      </c>
      <c r="AK153" s="255">
        <f t="shared" si="958"/>
        <v>0.646219199359864</v>
      </c>
      <c r="AL153" s="254">
        <f t="shared" si="958"/>
        <v>0.460260017152796</v>
      </c>
      <c r="AM153" s="255">
        <f t="shared" si="958"/>
        <v>0.434720334400257</v>
      </c>
      <c r="AN153" s="255">
        <f t="shared" si="958"/>
        <v>0.223221363134299</v>
      </c>
      <c r="AO153" s="255">
        <f t="shared" si="958"/>
        <v>0.354384767106661</v>
      </c>
      <c r="AP153" s="255">
        <f t="shared" si="958"/>
        <v>0.290702578288623</v>
      </c>
      <c r="AQ153" s="254">
        <f t="shared" si="958"/>
        <v>0.317317429953865</v>
      </c>
      <c r="AR153" s="255">
        <f t="shared" si="958"/>
        <v>-0.0304181734834207</v>
      </c>
      <c r="AS153" s="255">
        <f t="shared" si="958"/>
        <v>0.141873731847493</v>
      </c>
      <c r="AT153" s="255">
        <f t="shared" si="958"/>
        <v>0.14126081720671</v>
      </c>
      <c r="AU153" s="255">
        <f t="shared" si="958"/>
        <v>-0.0397689513092023</v>
      </c>
      <c r="AV153" s="254">
        <f t="shared" si="958"/>
        <v>0.0381677003752185</v>
      </c>
      <c r="AW153" s="255">
        <f t="shared" si="958"/>
        <v>0.114636632030175</v>
      </c>
      <c r="AX153" s="255">
        <f t="shared" si="958"/>
        <v>-0.0466470675796368</v>
      </c>
      <c r="AY153" s="255">
        <f t="shared" ref="AY153:CK153" si="959">AY152/AT152-1</f>
        <v>-0.10381749323125</v>
      </c>
      <c r="AZ153" s="255">
        <f t="shared" si="959"/>
        <v>0.0429847681775448</v>
      </c>
      <c r="BA153" s="254">
        <f t="shared" si="959"/>
        <v>0.00132047111519618</v>
      </c>
      <c r="BB153" s="255">
        <f t="shared" si="959"/>
        <v>-0.00956734847770779</v>
      </c>
      <c r="BC153" s="255">
        <f t="shared" si="959"/>
        <v>-0.00939750570876519</v>
      </c>
      <c r="BD153" s="255">
        <f t="shared" si="959"/>
        <v>0.00658993619992532</v>
      </c>
      <c r="BE153" s="255">
        <f t="shared" si="959"/>
        <v>0.117988276929883</v>
      </c>
      <c r="BF153" s="254">
        <f t="shared" si="959"/>
        <v>0.0402453077871194</v>
      </c>
      <c r="BG153" s="255">
        <f t="shared" si="959"/>
        <v>0.0837877706400192</v>
      </c>
      <c r="BH153" s="255">
        <f t="shared" si="959"/>
        <v>0.15807153904503</v>
      </c>
      <c r="BI153" s="255">
        <f t="shared" si="959"/>
        <v>0.276660954090839</v>
      </c>
      <c r="BJ153" s="255">
        <f t="shared" si="959"/>
        <v>0.245913234443087</v>
      </c>
      <c r="BK153" s="254">
        <f t="shared" si="959"/>
        <v>0.202446411300732</v>
      </c>
      <c r="BL153" s="255">
        <f t="shared" si="959"/>
        <v>0.0166668130208378</v>
      </c>
      <c r="BM153" s="255">
        <f t="shared" si="959"/>
        <v>0.188359689342191</v>
      </c>
      <c r="BN153" s="255">
        <f t="shared" si="959"/>
        <v>0.126006790062076</v>
      </c>
      <c r="BO153" s="275">
        <f t="shared" si="959"/>
        <v>0.259191329720717</v>
      </c>
      <c r="BP153" s="254">
        <f t="shared" si="959"/>
        <v>0.1715537752854</v>
      </c>
      <c r="BQ153" s="255">
        <f t="shared" si="959"/>
        <v>0.492325764184596</v>
      </c>
      <c r="BR153" s="255">
        <f t="shared" si="959"/>
        <v>0.474552612741589</v>
      </c>
      <c r="BS153" s="255">
        <f t="shared" si="959"/>
        <v>0.319948276405841</v>
      </c>
      <c r="BT153" s="255">
        <f t="shared" si="959"/>
        <v>0.274342337570621</v>
      </c>
      <c r="BU153" s="254">
        <f t="shared" si="959"/>
        <v>0.356997303048704</v>
      </c>
      <c r="BV153" s="255">
        <f t="shared" si="959"/>
        <v>0.228259548435266</v>
      </c>
      <c r="BW153" s="255">
        <f t="shared" si="959"/>
        <v>0.247758440738853</v>
      </c>
      <c r="BX153" s="255">
        <f t="shared" si="959"/>
        <v>0.280524519970563</v>
      </c>
      <c r="BY153" s="255">
        <f t="shared" si="959"/>
        <v>0.254472403581387</v>
      </c>
      <c r="BZ153" s="254">
        <f t="shared" si="959"/>
        <v>0.254008391191164</v>
      </c>
      <c r="CA153" s="255">
        <f t="shared" si="959"/>
        <v>-0.403793322809415</v>
      </c>
      <c r="CB153" s="255">
        <f t="shared" si="959"/>
        <v>-0.0861488063743038</v>
      </c>
      <c r="CC153" s="255">
        <f t="shared" si="959"/>
        <v>0.204261830123899</v>
      </c>
      <c r="CD153" s="255">
        <f t="shared" si="959"/>
        <v>0.120360746974218</v>
      </c>
      <c r="CE153" s="254">
        <f t="shared" ref="CE153:CT153" si="960">CE152/BZ152-1</f>
        <v>0.00637323530499101</v>
      </c>
      <c r="CF153" s="255">
        <f t="shared" si="959"/>
        <v>1.77091302835826</v>
      </c>
      <c r="CG153" s="255">
        <f t="shared" si="959"/>
        <v>0.990233684846885</v>
      </c>
      <c r="CH153" s="255">
        <f t="shared" si="959"/>
        <v>0.44161341704525</v>
      </c>
      <c r="CI153" s="255">
        <f t="shared" si="959"/>
        <v>0.299519969582231</v>
      </c>
      <c r="CJ153" s="254">
        <f t="shared" si="960"/>
        <v>0.614375065884254</v>
      </c>
      <c r="CK153" s="255">
        <f t="shared" si="959"/>
        <v>0.327316757324145</v>
      </c>
      <c r="CL153" s="255">
        <f t="shared" si="960"/>
        <v>0.310966792446372</v>
      </c>
      <c r="CM153" s="255">
        <f t="shared" si="960"/>
        <v>0.26695184866724</v>
      </c>
      <c r="CN153" s="255">
        <f t="shared" si="960"/>
        <v>0.345229145416889</v>
      </c>
      <c r="CO153" s="254">
        <f t="shared" si="960"/>
        <v>0.316185789462749</v>
      </c>
      <c r="CP153" s="255">
        <f t="shared" si="960"/>
        <v>0.447017234710104</v>
      </c>
      <c r="CQ153" s="255">
        <f t="shared" si="960"/>
        <v>0.260075776365084</v>
      </c>
      <c r="CR153" s="255">
        <f t="shared" si="960"/>
        <v>0.269846925444446</v>
      </c>
      <c r="CS153" s="255">
        <f t="shared" si="960"/>
        <v>0.194535125152803</v>
      </c>
      <c r="CT153" s="254">
        <f t="shared" si="960"/>
        <v>0.270472148557065</v>
      </c>
      <c r="CU153" s="255"/>
      <c r="CV153" s="255"/>
      <c r="CW153" s="255"/>
      <c r="CX153" s="255"/>
      <c r="CY153" s="254"/>
      <c r="CZ153" s="255"/>
      <c r="DA153" s="255"/>
      <c r="DB153" s="255"/>
      <c r="DC153" s="255"/>
      <c r="DD153" s="254"/>
      <c r="DE153" s="255"/>
      <c r="DF153" s="255"/>
      <c r="DG153" s="255"/>
      <c r="DH153" s="255"/>
      <c r="DI153" s="254"/>
      <c r="DJ153" s="255"/>
      <c r="DK153" s="255"/>
      <c r="DL153" s="255"/>
      <c r="DM153" s="255"/>
      <c r="DN153" s="254"/>
      <c r="DO153" s="255"/>
      <c r="DP153" s="255"/>
      <c r="DQ153" s="255"/>
      <c r="DR153" s="255"/>
      <c r="DS153" s="254"/>
    </row>
    <row r="154" s="3" customFormat="1" hidden="1" outlineLevel="1" spans="2:123">
      <c r="B154" s="262" t="s">
        <v>72</v>
      </c>
      <c r="C154" s="254"/>
      <c r="D154" s="255"/>
      <c r="E154" s="255"/>
      <c r="F154" s="255"/>
      <c r="G154" s="255"/>
      <c r="H154" s="254"/>
      <c r="I154" s="255"/>
      <c r="J154" s="255"/>
      <c r="K154" s="255"/>
      <c r="L154" s="255"/>
      <c r="M154" s="254"/>
      <c r="N154" s="255">
        <f t="shared" ref="N154:AS154" si="961">N152/N$13</f>
        <v>0.335971930536508</v>
      </c>
      <c r="O154" s="255">
        <f t="shared" si="961"/>
        <v>0.323853004137084</v>
      </c>
      <c r="P154" s="255">
        <f t="shared" si="961"/>
        <v>0.322115038666503</v>
      </c>
      <c r="Q154" s="255">
        <f t="shared" si="961"/>
        <v>0.369578659774564</v>
      </c>
      <c r="R154" s="254">
        <f t="shared" si="961"/>
        <v>0.342902911503442</v>
      </c>
      <c r="S154" s="255">
        <f t="shared" si="961"/>
        <v>0.346589082157348</v>
      </c>
      <c r="T154" s="255">
        <f t="shared" si="961"/>
        <v>0.312583995762586</v>
      </c>
      <c r="U154" s="255">
        <f t="shared" si="961"/>
        <v>0.275494420350538</v>
      </c>
      <c r="V154" s="255">
        <f t="shared" si="961"/>
        <v>0.35128607307474</v>
      </c>
      <c r="W154" s="254">
        <f t="shared" si="961"/>
        <v>0.322316980719963</v>
      </c>
      <c r="X154" s="255">
        <f t="shared" si="961"/>
        <v>0.296890303623898</v>
      </c>
      <c r="Y154" s="255">
        <f t="shared" si="961"/>
        <v>0.282078570624533</v>
      </c>
      <c r="Z154" s="255">
        <f t="shared" si="961"/>
        <v>0.313107333622698</v>
      </c>
      <c r="AA154" s="255">
        <f t="shared" si="961"/>
        <v>0.321189743845186</v>
      </c>
      <c r="AB154" s="254">
        <f t="shared" si="961"/>
        <v>0.306353748526158</v>
      </c>
      <c r="AC154" s="255">
        <f t="shared" si="961"/>
        <v>0.389227532050587</v>
      </c>
      <c r="AD154" s="255">
        <f t="shared" si="961"/>
        <v>0.331651424366656</v>
      </c>
      <c r="AE154" s="255">
        <f t="shared" si="961"/>
        <v>0.342610921501706</v>
      </c>
      <c r="AF154" s="255">
        <f t="shared" si="961"/>
        <v>0.34630132967127</v>
      </c>
      <c r="AG154" s="254">
        <f t="shared" si="961"/>
        <v>0.350598001416319</v>
      </c>
      <c r="AH154" s="255">
        <f t="shared" si="961"/>
        <v>0.366318663668487</v>
      </c>
      <c r="AI154" s="255">
        <f t="shared" si="961"/>
        <v>0.362443070227907</v>
      </c>
      <c r="AJ154" s="255">
        <f t="shared" si="961"/>
        <v>0.343555617333287</v>
      </c>
      <c r="AK154" s="255">
        <f t="shared" si="961"/>
        <v>0.3765584625323</v>
      </c>
      <c r="AL154" s="254">
        <f t="shared" si="961"/>
        <v>0.364061552357572</v>
      </c>
      <c r="AM154" s="255">
        <f t="shared" si="961"/>
        <v>0.343597085033847</v>
      </c>
      <c r="AN154" s="255">
        <f t="shared" si="961"/>
        <v>0.333056178662157</v>
      </c>
      <c r="AO154" s="255">
        <f t="shared" si="961"/>
        <v>0.338415414311755</v>
      </c>
      <c r="AP154" s="255">
        <f t="shared" si="961"/>
        <v>0.371902579681788</v>
      </c>
      <c r="AQ154" s="254">
        <f t="shared" si="961"/>
        <v>0.350254744256031</v>
      </c>
      <c r="AR154" s="255">
        <f t="shared" si="961"/>
        <v>0.275257243002817</v>
      </c>
      <c r="AS154" s="255">
        <f t="shared" si="961"/>
        <v>0.311999837451707</v>
      </c>
      <c r="AT154" s="255">
        <f t="shared" ref="AT154:CI154" si="962">AT152/AT$13</f>
        <v>0.321803106080548</v>
      </c>
      <c r="AU154" s="255">
        <f t="shared" si="962"/>
        <v>0.332801016520375</v>
      </c>
      <c r="AV154" s="254">
        <f t="shared" si="962"/>
        <v>0.313166640271294</v>
      </c>
      <c r="AW154" s="255">
        <f t="shared" si="962"/>
        <v>0.275832124341554</v>
      </c>
      <c r="AX154" s="255">
        <f t="shared" si="962"/>
        <v>0.26226495737433</v>
      </c>
      <c r="AY154" s="255">
        <f t="shared" si="962"/>
        <v>0.261235204913733</v>
      </c>
      <c r="AZ154" s="255">
        <f t="shared" si="962"/>
        <v>0.300164821758464</v>
      </c>
      <c r="BA154" s="254">
        <f t="shared" si="962"/>
        <v>0.277633109096878</v>
      </c>
      <c r="BB154" s="255">
        <f t="shared" si="962"/>
        <v>0.248085204842944</v>
      </c>
      <c r="BC154" s="255">
        <f t="shared" si="962"/>
        <v>0.224081146111565</v>
      </c>
      <c r="BD154" s="255">
        <f t="shared" si="962"/>
        <v>0.229903292314043</v>
      </c>
      <c r="BE154" s="255">
        <f t="shared" si="962"/>
        <v>0.287070693875697</v>
      </c>
      <c r="BF154" s="254">
        <f t="shared" si="962"/>
        <v>0.251900124385896</v>
      </c>
      <c r="BG154" s="255">
        <f t="shared" si="962"/>
        <v>0.229819016943953</v>
      </c>
      <c r="BH154" s="255">
        <f t="shared" si="962"/>
        <v>0.22847897069113</v>
      </c>
      <c r="BI154" s="255">
        <f t="shared" si="962"/>
        <v>0.258614735790278</v>
      </c>
      <c r="BJ154" s="255">
        <f t="shared" si="962"/>
        <v>0.318878649011317</v>
      </c>
      <c r="BK154" s="254">
        <f t="shared" si="962"/>
        <v>0.266220410238561</v>
      </c>
      <c r="BL154" s="255">
        <f t="shared" si="962"/>
        <v>0.222516706482903</v>
      </c>
      <c r="BM154" s="255">
        <f t="shared" si="962"/>
        <v>0.240425158419011</v>
      </c>
      <c r="BN154" s="255">
        <f t="shared" si="962"/>
        <v>0.256100634213953</v>
      </c>
      <c r="BO154" s="275">
        <f t="shared" si="962"/>
        <v>0.341506061715369</v>
      </c>
      <c r="BP154" s="254">
        <f t="shared" si="962"/>
        <v>0.276008946181358</v>
      </c>
      <c r="BQ154" s="255">
        <f t="shared" si="962"/>
        <v>0.265949881476465</v>
      </c>
      <c r="BR154" s="255">
        <f t="shared" si="962"/>
        <v>0.284720110573601</v>
      </c>
      <c r="BS154" s="255">
        <f t="shared" si="962"/>
        <v>0.279885776193565</v>
      </c>
      <c r="BT154" s="255">
        <f t="shared" si="962"/>
        <v>0.3462095204813</v>
      </c>
      <c r="BU154" s="254">
        <f t="shared" si="962"/>
        <v>0.301744143436206</v>
      </c>
      <c r="BV154" s="255">
        <f t="shared" si="962"/>
        <v>0.271265410991736</v>
      </c>
      <c r="BW154" s="255">
        <f t="shared" si="962"/>
        <v>0.290973473768102</v>
      </c>
      <c r="BX154" s="255">
        <f t="shared" si="962"/>
        <v>0.292500818687916</v>
      </c>
      <c r="BY154" s="255">
        <f t="shared" si="962"/>
        <v>0.362832915921288</v>
      </c>
      <c r="BZ154" s="254">
        <f t="shared" si="962"/>
        <v>0.312687236116601</v>
      </c>
      <c r="CA154" s="255">
        <f t="shared" si="962"/>
        <v>0.194066525349637</v>
      </c>
      <c r="CB154" s="255">
        <f t="shared" si="962"/>
        <v>0.260138281766542</v>
      </c>
      <c r="CC154" s="255">
        <f t="shared" si="962"/>
        <v>0.288783328828934</v>
      </c>
      <c r="CD154" s="255">
        <f t="shared" si="962"/>
        <v>0.328460202410798</v>
      </c>
      <c r="CE154" s="254">
        <f t="shared" si="962"/>
        <v>0.284468519011995</v>
      </c>
      <c r="CF154" s="255">
        <f t="shared" si="962"/>
        <v>0.285849050450233</v>
      </c>
      <c r="CG154" s="255">
        <f t="shared" si="962"/>
        <v>0.322265406881757</v>
      </c>
      <c r="CH154" s="255">
        <f t="shared" si="962"/>
        <v>0.320734462614648</v>
      </c>
      <c r="CI154" s="255">
        <f t="shared" si="962"/>
        <v>0.346739141666299</v>
      </c>
      <c r="CJ154" s="254">
        <f t="shared" ref="CJ154:CT154" si="963">CJ152/CJ$13</f>
        <v>0.32310016739078</v>
      </c>
      <c r="CK154" s="255">
        <f t="shared" si="963"/>
        <v>0.288410704181007</v>
      </c>
      <c r="CL154" s="255">
        <f t="shared" si="963"/>
        <v>0.328023773127631</v>
      </c>
      <c r="CM154" s="255">
        <f t="shared" si="963"/>
        <v>0.317405079140433</v>
      </c>
      <c r="CN154" s="255">
        <f t="shared" si="963"/>
        <v>0.358284286455413</v>
      </c>
      <c r="CO154" s="254">
        <f t="shared" si="963"/>
        <v>0.328054015785428</v>
      </c>
      <c r="CP154" s="255">
        <f t="shared" si="963"/>
        <v>0.33654422848552</v>
      </c>
      <c r="CQ154" s="255">
        <f t="shared" si="963"/>
        <v>0.349564201859073</v>
      </c>
      <c r="CR154" s="255">
        <f t="shared" si="963"/>
        <v>0.339544455221761</v>
      </c>
      <c r="CS154" s="255">
        <f t="shared" si="963"/>
        <v>0.370128510690608</v>
      </c>
      <c r="CT154" s="254">
        <f t="shared" si="963"/>
        <v>0.351412029052492</v>
      </c>
      <c r="CU154" s="255"/>
      <c r="CV154" s="255"/>
      <c r="CW154" s="255"/>
      <c r="CX154" s="255"/>
      <c r="CY154" s="254"/>
      <c r="CZ154" s="255"/>
      <c r="DA154" s="255"/>
      <c r="DB154" s="255"/>
      <c r="DC154" s="255"/>
      <c r="DD154" s="254"/>
      <c r="DE154" s="255"/>
      <c r="DF154" s="255"/>
      <c r="DG154" s="255"/>
      <c r="DH154" s="255"/>
      <c r="DI154" s="254"/>
      <c r="DJ154" s="255"/>
      <c r="DK154" s="255"/>
      <c r="DL154" s="255"/>
      <c r="DM154" s="255"/>
      <c r="DN154" s="254"/>
      <c r="DO154" s="255"/>
      <c r="DP154" s="255"/>
      <c r="DQ154" s="255"/>
      <c r="DR154" s="255"/>
      <c r="DS154" s="254"/>
    </row>
    <row r="155" s="3" customFormat="1" hidden="1" outlineLevel="1" spans="2:123">
      <c r="B155" s="256" t="s">
        <v>73</v>
      </c>
      <c r="C155" s="246"/>
      <c r="D155" s="247"/>
      <c r="E155" s="247"/>
      <c r="F155" s="247"/>
      <c r="G155" s="247"/>
      <c r="H155" s="259"/>
      <c r="I155" s="260"/>
      <c r="J155" s="260"/>
      <c r="K155" s="260"/>
      <c r="L155" s="260"/>
      <c r="M155" s="259"/>
      <c r="N155" s="260"/>
      <c r="O155" s="260"/>
      <c r="P155" s="260"/>
      <c r="Q155" s="260"/>
      <c r="R155" s="259"/>
      <c r="S155" s="260">
        <f t="shared" ref="S155:AX155" si="964">(S154-N154)*100*100</f>
        <v>106.171516208395</v>
      </c>
      <c r="T155" s="260">
        <f t="shared" si="964"/>
        <v>-112.690083744976</v>
      </c>
      <c r="U155" s="260">
        <f t="shared" si="964"/>
        <v>-466.206183159654</v>
      </c>
      <c r="V155" s="260">
        <f t="shared" si="964"/>
        <v>-182.925866998244</v>
      </c>
      <c r="W155" s="259">
        <f t="shared" si="964"/>
        <v>-205.859307834793</v>
      </c>
      <c r="X155" s="260">
        <f t="shared" si="964"/>
        <v>-496.987785334498</v>
      </c>
      <c r="Y155" s="260">
        <f t="shared" si="964"/>
        <v>-305.054251380534</v>
      </c>
      <c r="Z155" s="260">
        <f t="shared" si="964"/>
        <v>376.129132721603</v>
      </c>
      <c r="AA155" s="260">
        <f t="shared" si="964"/>
        <v>-300.963292295532</v>
      </c>
      <c r="AB155" s="259">
        <f t="shared" si="964"/>
        <v>-159.632321938045</v>
      </c>
      <c r="AC155" s="260">
        <f t="shared" si="964"/>
        <v>923.372284266886</v>
      </c>
      <c r="AD155" s="260">
        <f t="shared" si="964"/>
        <v>495.728537421231</v>
      </c>
      <c r="AE155" s="260">
        <f t="shared" si="964"/>
        <v>295.035878790085</v>
      </c>
      <c r="AF155" s="260">
        <f t="shared" si="964"/>
        <v>251.115858260837</v>
      </c>
      <c r="AG155" s="259">
        <f t="shared" si="964"/>
        <v>442.442528901609</v>
      </c>
      <c r="AH155" s="260">
        <f t="shared" si="964"/>
        <v>-229.088683820998</v>
      </c>
      <c r="AI155" s="260">
        <f t="shared" si="964"/>
        <v>307.916458612512</v>
      </c>
      <c r="AJ155" s="260">
        <f t="shared" si="964"/>
        <v>9.44695831580522</v>
      </c>
      <c r="AK155" s="260">
        <f t="shared" si="964"/>
        <v>302.571328610297</v>
      </c>
      <c r="AL155" s="259">
        <f t="shared" si="964"/>
        <v>134.635509412529</v>
      </c>
      <c r="AM155" s="260">
        <f t="shared" si="964"/>
        <v>-227.2157863464</v>
      </c>
      <c r="AN155" s="260">
        <f t="shared" si="964"/>
        <v>-293.868915657507</v>
      </c>
      <c r="AO155" s="260">
        <f t="shared" si="964"/>
        <v>-51.4020302153195</v>
      </c>
      <c r="AP155" s="260">
        <f t="shared" si="964"/>
        <v>-46.5588285051199</v>
      </c>
      <c r="AQ155" s="259">
        <f t="shared" si="964"/>
        <v>-138.068081015405</v>
      </c>
      <c r="AR155" s="260">
        <f t="shared" si="964"/>
        <v>-683.398420310302</v>
      </c>
      <c r="AS155" s="260">
        <f t="shared" si="964"/>
        <v>-210.563412104495</v>
      </c>
      <c r="AT155" s="260">
        <f t="shared" si="964"/>
        <v>-166.123082312075</v>
      </c>
      <c r="AU155" s="260">
        <f t="shared" si="964"/>
        <v>-391.015631614123</v>
      </c>
      <c r="AV155" s="259">
        <f t="shared" si="964"/>
        <v>-370.881039847373</v>
      </c>
      <c r="AW155" s="260">
        <f t="shared" si="964"/>
        <v>5.74881338737676</v>
      </c>
      <c r="AX155" s="260">
        <f t="shared" si="964"/>
        <v>-497.348800773768</v>
      </c>
      <c r="AY155" s="260">
        <f t="shared" ref="AY155:CK155" si="965">(AY154-AT154)*100*100</f>
        <v>-605.679011668144</v>
      </c>
      <c r="AZ155" s="260">
        <f t="shared" si="965"/>
        <v>-326.361947619115</v>
      </c>
      <c r="BA155" s="259">
        <f t="shared" si="965"/>
        <v>-355.335311744162</v>
      </c>
      <c r="BB155" s="260">
        <f t="shared" si="965"/>
        <v>-277.469194986102</v>
      </c>
      <c r="BC155" s="260">
        <f t="shared" si="965"/>
        <v>-381.838112627656</v>
      </c>
      <c r="BD155" s="260">
        <f t="shared" si="965"/>
        <v>-313.319125996906</v>
      </c>
      <c r="BE155" s="260">
        <f t="shared" si="965"/>
        <v>-130.941278827675</v>
      </c>
      <c r="BF155" s="259">
        <f t="shared" si="965"/>
        <v>-257.329847109817</v>
      </c>
      <c r="BG155" s="260">
        <f t="shared" si="965"/>
        <v>-182.661878989908</v>
      </c>
      <c r="BH155" s="260">
        <f t="shared" si="965"/>
        <v>43.9782457956475</v>
      </c>
      <c r="BI155" s="260">
        <f t="shared" si="965"/>
        <v>287.114434762355</v>
      </c>
      <c r="BJ155" s="260">
        <f t="shared" si="965"/>
        <v>318.079551356208</v>
      </c>
      <c r="BK155" s="259">
        <f t="shared" si="965"/>
        <v>143.202858526645</v>
      </c>
      <c r="BL155" s="260">
        <f t="shared" si="965"/>
        <v>-73.0231046105004</v>
      </c>
      <c r="BM155" s="260">
        <f t="shared" si="965"/>
        <v>119.461877278813</v>
      </c>
      <c r="BN155" s="260">
        <f t="shared" si="965"/>
        <v>-25.1410157632531</v>
      </c>
      <c r="BO155" s="276">
        <f t="shared" si="965"/>
        <v>226.274127040512</v>
      </c>
      <c r="BP155" s="259">
        <f t="shared" si="965"/>
        <v>97.8853594279761</v>
      </c>
      <c r="BQ155" s="260">
        <f t="shared" si="965"/>
        <v>434.331749935612</v>
      </c>
      <c r="BR155" s="260">
        <f t="shared" si="965"/>
        <v>442.949521545897</v>
      </c>
      <c r="BS155" s="260">
        <f t="shared" si="965"/>
        <v>237.851419796126</v>
      </c>
      <c r="BT155" s="260">
        <f t="shared" si="965"/>
        <v>47.034587659317</v>
      </c>
      <c r="BU155" s="259">
        <f t="shared" si="965"/>
        <v>257.351972548472</v>
      </c>
      <c r="BV155" s="260">
        <f t="shared" si="965"/>
        <v>53.1552951527148</v>
      </c>
      <c r="BW155" s="260">
        <f t="shared" si="965"/>
        <v>62.5336319450098</v>
      </c>
      <c r="BX155" s="260">
        <f t="shared" si="965"/>
        <v>126.15042494351</v>
      </c>
      <c r="BY155" s="260">
        <f t="shared" si="965"/>
        <v>166.233954399878</v>
      </c>
      <c r="BZ155" s="259">
        <f t="shared" si="965"/>
        <v>109.430926803958</v>
      </c>
      <c r="CA155" s="260">
        <f t="shared" si="965"/>
        <v>-771.988856420991</v>
      </c>
      <c r="CB155" s="260">
        <f t="shared" si="965"/>
        <v>-308.351920015592</v>
      </c>
      <c r="CC155" s="260">
        <f t="shared" si="965"/>
        <v>-37.1748985898263</v>
      </c>
      <c r="CD155" s="260">
        <f t="shared" si="965"/>
        <v>-343.727135104904</v>
      </c>
      <c r="CE155" s="259">
        <f t="shared" ref="CE155:CT155" si="966">(CE154-BZ154)*100*100</f>
        <v>-282.187171046067</v>
      </c>
      <c r="CF155" s="260">
        <f t="shared" si="965"/>
        <v>917.825251005961</v>
      </c>
      <c r="CG155" s="260">
        <f t="shared" si="965"/>
        <v>621.271251152143</v>
      </c>
      <c r="CH155" s="260">
        <f t="shared" si="965"/>
        <v>319.511337857142</v>
      </c>
      <c r="CI155" s="260">
        <f t="shared" si="965"/>
        <v>182.78939255501</v>
      </c>
      <c r="CJ155" s="259">
        <f t="shared" si="966"/>
        <v>386.316483787853</v>
      </c>
      <c r="CK155" s="260">
        <f t="shared" si="965"/>
        <v>25.6165373077388</v>
      </c>
      <c r="CL155" s="260">
        <f t="shared" si="966"/>
        <v>57.5836624587406</v>
      </c>
      <c r="CM155" s="260">
        <f t="shared" si="966"/>
        <v>-33.2938347421452</v>
      </c>
      <c r="CN155" s="260">
        <f t="shared" si="966"/>
        <v>115.451447891147</v>
      </c>
      <c r="CO155" s="259">
        <f t="shared" si="966"/>
        <v>49.538483946483</v>
      </c>
      <c r="CP155" s="260">
        <f t="shared" si="966"/>
        <v>481.335243045127</v>
      </c>
      <c r="CQ155" s="260">
        <f t="shared" si="966"/>
        <v>215.404287314427</v>
      </c>
      <c r="CR155" s="260">
        <f t="shared" si="966"/>
        <v>221.393760813279</v>
      </c>
      <c r="CS155" s="260">
        <f t="shared" si="966"/>
        <v>118.442242351947</v>
      </c>
      <c r="CT155" s="259">
        <f t="shared" si="966"/>
        <v>233.58013267064</v>
      </c>
      <c r="CU155" s="260"/>
      <c r="CV155" s="260"/>
      <c r="CW155" s="260"/>
      <c r="CX155" s="260"/>
      <c r="CY155" s="259"/>
      <c r="CZ155" s="260"/>
      <c r="DA155" s="260"/>
      <c r="DB155" s="260"/>
      <c r="DC155" s="260"/>
      <c r="DD155" s="259"/>
      <c r="DE155" s="260"/>
      <c r="DF155" s="260"/>
      <c r="DG155" s="260"/>
      <c r="DH155" s="260"/>
      <c r="DI155" s="259"/>
      <c r="DJ155" s="260"/>
      <c r="DK155" s="260"/>
      <c r="DL155" s="260"/>
      <c r="DM155" s="260"/>
      <c r="DN155" s="259"/>
      <c r="DO155" s="260"/>
      <c r="DP155" s="260"/>
      <c r="DQ155" s="260"/>
      <c r="DR155" s="260"/>
      <c r="DS155" s="259"/>
    </row>
    <row r="156" hidden="1" outlineLevel="1" spans="2:123">
      <c r="B156" s="245" t="s">
        <v>62</v>
      </c>
      <c r="C156" s="248"/>
      <c r="D156" s="249"/>
      <c r="E156" s="249"/>
      <c r="F156" s="249"/>
      <c r="G156" s="249"/>
      <c r="H156" s="248"/>
      <c r="I156" s="249"/>
      <c r="J156" s="249"/>
      <c r="K156" s="249"/>
      <c r="L156" s="249"/>
      <c r="M156" s="248"/>
      <c r="N156" s="249">
        <f>N490</f>
        <v>-8.201</v>
      </c>
      <c r="O156" s="249">
        <f>O490</f>
        <v>-9.26</v>
      </c>
      <c r="P156" s="249">
        <f>P490</f>
        <v>-9.461</v>
      </c>
      <c r="Q156" s="249">
        <f>Q490</f>
        <v>-17.178</v>
      </c>
      <c r="R156" s="248">
        <f>SUM(N156:Q156)</f>
        <v>-44.1</v>
      </c>
      <c r="S156" s="249">
        <f>S490</f>
        <v>-15.371</v>
      </c>
      <c r="T156" s="249">
        <f>T490</f>
        <v>-11.179</v>
      </c>
      <c r="U156" s="249">
        <f>U490</f>
        <v>-10.926</v>
      </c>
      <c r="V156" s="249">
        <f>V490</f>
        <v>-16.024</v>
      </c>
      <c r="W156" s="248">
        <f>SUM(S156:V156)</f>
        <v>-53.5</v>
      </c>
      <c r="X156" s="249">
        <f>X490</f>
        <v>-14.397</v>
      </c>
      <c r="Y156" s="249">
        <f>Y490</f>
        <v>-13.233</v>
      </c>
      <c r="Z156" s="249">
        <f>Z490</f>
        <v>-14.421</v>
      </c>
      <c r="AA156" s="249">
        <f>AA490</f>
        <v>-9.949</v>
      </c>
      <c r="AB156" s="248">
        <f>SUM(X156:AA156)</f>
        <v>-52</v>
      </c>
      <c r="AC156" s="249">
        <f>AC490</f>
        <v>-21.355</v>
      </c>
      <c r="AD156" s="249">
        <f>AD490</f>
        <v>-16.237</v>
      </c>
      <c r="AE156" s="249">
        <f>AE490</f>
        <v>-17.855</v>
      </c>
      <c r="AF156" s="249">
        <f>AF490</f>
        <v>-13.653</v>
      </c>
      <c r="AG156" s="248">
        <f>SUM(AC156:AF156)</f>
        <v>-69.1</v>
      </c>
      <c r="AH156" s="249">
        <f>AH490</f>
        <v>-16.734</v>
      </c>
      <c r="AI156" s="249">
        <f>AI490</f>
        <v>-17.472</v>
      </c>
      <c r="AJ156" s="249">
        <f>AJ490</f>
        <v>-19.371</v>
      </c>
      <c r="AK156" s="249">
        <f>AK490</f>
        <v>-23.823</v>
      </c>
      <c r="AL156" s="248">
        <f>SUM(AH156:AK156)</f>
        <v>-77.4</v>
      </c>
      <c r="AM156" s="249">
        <f>AM490</f>
        <v>-25.1</v>
      </c>
      <c r="AN156" s="249">
        <f>AN490</f>
        <v>-23.945</v>
      </c>
      <c r="AO156" s="249">
        <f>AO490</f>
        <v>-26.51</v>
      </c>
      <c r="AP156" s="249">
        <f>AP490</f>
        <v>-27.993</v>
      </c>
      <c r="AQ156" s="248">
        <f>SUM(AM156:AP156)</f>
        <v>-103.548</v>
      </c>
      <c r="AR156" s="249">
        <f>AR490</f>
        <v>-29.29</v>
      </c>
      <c r="AS156" s="249">
        <f>AS490</f>
        <v>-28.502</v>
      </c>
      <c r="AT156" s="249">
        <f>AT490</f>
        <v>-29.917</v>
      </c>
      <c r="AU156" s="249">
        <f>AU490</f>
        <v>-19.24</v>
      </c>
      <c r="AV156" s="248">
        <f>SUM(AR156:AU156)</f>
        <v>-106.949</v>
      </c>
      <c r="AW156" s="249">
        <f>AW490</f>
        <v>-36.289</v>
      </c>
      <c r="AX156" s="249">
        <f>AX490</f>
        <v>-34.586</v>
      </c>
      <c r="AY156" s="249">
        <f>AY490</f>
        <v>-28.405</v>
      </c>
      <c r="AZ156" s="249">
        <f>AZ490</f>
        <v>-23.652</v>
      </c>
      <c r="BA156" s="248">
        <f>SUM(AW156:AZ156)</f>
        <v>-122.932</v>
      </c>
      <c r="BB156" s="249">
        <f>BB490</f>
        <v>-37.039</v>
      </c>
      <c r="BC156" s="249">
        <f>BC490</f>
        <v>-34.932</v>
      </c>
      <c r="BD156" s="249">
        <f>BD490</f>
        <v>-42.105</v>
      </c>
      <c r="BE156" s="249">
        <f>BE490</f>
        <v>-35.894</v>
      </c>
      <c r="BF156" s="248">
        <f>SUM(BB156:BE156)</f>
        <v>-149.97</v>
      </c>
      <c r="BG156" s="249">
        <f>BG490</f>
        <v>-56.29</v>
      </c>
      <c r="BH156" s="249">
        <f>BH490</f>
        <v>-43.598</v>
      </c>
      <c r="BI156" s="249">
        <f>BI490</f>
        <v>-47.819</v>
      </c>
      <c r="BJ156" s="249">
        <f>BJ490</f>
        <v>-55.266</v>
      </c>
      <c r="BK156" s="248">
        <f>SUM(BG156:BJ156)</f>
        <v>-202.973</v>
      </c>
      <c r="BL156" s="249">
        <f>BL490</f>
        <v>-52.604</v>
      </c>
      <c r="BM156" s="249">
        <f>BM490</f>
        <v>-65.558</v>
      </c>
      <c r="BN156" s="249">
        <f>BN490</f>
        <v>-50.762</v>
      </c>
      <c r="BO156" s="251">
        <f>BO490</f>
        <v>-59.048</v>
      </c>
      <c r="BP156" s="248">
        <f>SUM(BL156:BO156)</f>
        <v>-227.972</v>
      </c>
      <c r="BQ156" s="249">
        <f>BQ490</f>
        <v>-68.472</v>
      </c>
      <c r="BR156" s="249">
        <f>BR490</f>
        <v>-71.787</v>
      </c>
      <c r="BS156" s="249">
        <f>BS490</f>
        <v>-73.355</v>
      </c>
      <c r="BT156" s="249">
        <f>BT490</f>
        <v>-72.751</v>
      </c>
      <c r="BU156" s="248">
        <f>SUM(BQ156:BT156)</f>
        <v>-286.365</v>
      </c>
      <c r="BV156" s="249">
        <f>BV490</f>
        <v>-83.403</v>
      </c>
      <c r="BW156" s="249">
        <f>BW490</f>
        <v>-89.05</v>
      </c>
      <c r="BX156" s="249">
        <f>BX490</f>
        <v>-92.131</v>
      </c>
      <c r="BY156" s="249">
        <f>BY490</f>
        <v>-90.572</v>
      </c>
      <c r="BZ156" s="248">
        <f>SUM(BV156:BY156)</f>
        <v>-355.156</v>
      </c>
      <c r="CA156" s="249">
        <f>CA490</f>
        <v>-93.773</v>
      </c>
      <c r="CB156" s="249">
        <f>CB490</f>
        <v>-99.016</v>
      </c>
      <c r="CC156" s="249">
        <f>CC490</f>
        <v>-107.002</v>
      </c>
      <c r="CD156" s="249">
        <f>CD490</f>
        <v>-100.186</v>
      </c>
      <c r="CE156" s="248">
        <f>SUM(CA156:CD156)</f>
        <v>-399.977</v>
      </c>
      <c r="CF156" s="249">
        <f>CF490</f>
        <v>-146.907</v>
      </c>
      <c r="CG156" s="249">
        <f>CG490</f>
        <v>-166.115</v>
      </c>
      <c r="CH156" s="249">
        <f>CH490</f>
        <v>-180.931</v>
      </c>
      <c r="CI156" s="249">
        <f>CI490</f>
        <v>-144.03</v>
      </c>
      <c r="CJ156" s="248">
        <f>SUM(CF156:CI156)</f>
        <v>-637.983</v>
      </c>
      <c r="CK156" s="249">
        <f>CK490</f>
        <v>-202.798</v>
      </c>
      <c r="CL156" s="249">
        <f>CL490</f>
        <v>-219.633</v>
      </c>
      <c r="CM156" s="249">
        <f>CM490</f>
        <v>-234.77</v>
      </c>
      <c r="CN156" s="249">
        <f>CN490</f>
        <v>-205.666</v>
      </c>
      <c r="CO156" s="248">
        <f>SUM(CK156:CN156)</f>
        <v>-862.867</v>
      </c>
      <c r="CP156" s="249">
        <f>CP490</f>
        <v>-270.063</v>
      </c>
      <c r="CQ156" s="249">
        <f>CQ490</f>
        <v>-291.109</v>
      </c>
      <c r="CR156" s="249">
        <f>CR490</f>
        <v>-310.852</v>
      </c>
      <c r="CS156" s="273">
        <f>CS490</f>
        <v>-272.41</v>
      </c>
      <c r="CT156" s="274">
        <f>SUM(CP156:CS156)</f>
        <v>-1144.434</v>
      </c>
      <c r="CU156" s="249"/>
      <c r="CV156" s="249"/>
      <c r="CW156" s="249"/>
      <c r="CX156" s="249"/>
      <c r="CY156" s="248"/>
      <c r="CZ156" s="249"/>
      <c r="DA156" s="249"/>
      <c r="DB156" s="249"/>
      <c r="DC156" s="249"/>
      <c r="DD156" s="248"/>
      <c r="DE156" s="249"/>
      <c r="DF156" s="249"/>
      <c r="DG156" s="249"/>
      <c r="DH156" s="249"/>
      <c r="DI156" s="248"/>
      <c r="DJ156" s="249"/>
      <c r="DK156" s="249"/>
      <c r="DL156" s="249"/>
      <c r="DM156" s="249"/>
      <c r="DN156" s="248"/>
      <c r="DO156" s="249"/>
      <c r="DP156" s="249"/>
      <c r="DQ156" s="249"/>
      <c r="DR156" s="249"/>
      <c r="DS156" s="248"/>
    </row>
    <row r="157" hidden="1" outlineLevel="1" spans="2:123">
      <c r="B157" s="277" t="s">
        <v>63</v>
      </c>
      <c r="C157" s="248"/>
      <c r="D157" s="249"/>
      <c r="E157" s="249"/>
      <c r="F157" s="249"/>
      <c r="G157" s="249"/>
      <c r="H157" s="248"/>
      <c r="I157" s="249"/>
      <c r="J157" s="249"/>
      <c r="K157" s="249"/>
      <c r="L157" s="249"/>
      <c r="M157" s="248"/>
      <c r="N157" s="249"/>
      <c r="O157" s="249"/>
      <c r="P157" s="249"/>
      <c r="Q157" s="249"/>
      <c r="R157" s="248"/>
      <c r="S157" s="249"/>
      <c r="T157" s="249"/>
      <c r="U157" s="249"/>
      <c r="V157" s="249"/>
      <c r="W157" s="248"/>
      <c r="X157" s="249"/>
      <c r="Y157" s="249"/>
      <c r="Z157" s="249"/>
      <c r="AA157" s="249"/>
      <c r="AB157" s="248"/>
      <c r="AC157" s="249"/>
      <c r="AD157" s="249"/>
      <c r="AE157" s="249"/>
      <c r="AF157" s="249"/>
      <c r="AG157" s="248"/>
      <c r="AH157" s="249"/>
      <c r="AI157" s="249"/>
      <c r="AJ157" s="249"/>
      <c r="AK157" s="249"/>
      <c r="AL157" s="248"/>
      <c r="AM157" s="249"/>
      <c r="AN157" s="249"/>
      <c r="AO157" s="249"/>
      <c r="AP157" s="249"/>
      <c r="AQ157" s="248"/>
      <c r="AR157" s="249"/>
      <c r="AS157" s="249"/>
      <c r="AT157" s="249"/>
      <c r="AU157" s="249"/>
      <c r="AV157" s="248"/>
      <c r="AW157" s="249"/>
      <c r="AX157" s="249"/>
      <c r="AY157" s="249"/>
      <c r="AZ157" s="249"/>
      <c r="BA157" s="248"/>
      <c r="BB157" s="249"/>
      <c r="BC157" s="249"/>
      <c r="BD157" s="249"/>
      <c r="BE157" s="249"/>
      <c r="BF157" s="248"/>
      <c r="BG157" s="249"/>
      <c r="BH157" s="249"/>
      <c r="BI157" s="249"/>
      <c r="BJ157" s="249"/>
      <c r="BK157" s="248"/>
      <c r="BL157" s="249"/>
      <c r="BM157" s="249"/>
      <c r="BN157" s="249"/>
      <c r="BO157" s="251"/>
      <c r="BP157" s="248"/>
      <c r="BQ157" s="249"/>
      <c r="BR157" s="249"/>
      <c r="BS157" s="249"/>
      <c r="BT157" s="249"/>
      <c r="BU157" s="248"/>
      <c r="BV157" s="249">
        <f>'2. Consolidated'!BV52</f>
        <v>0</v>
      </c>
      <c r="BW157" s="249">
        <f>'2. Consolidated'!BW52</f>
        <v>0</v>
      </c>
      <c r="BX157" s="249">
        <f>'2. Consolidated'!BX52</f>
        <v>-0.007</v>
      </c>
      <c r="BY157" s="249">
        <f>'2. Consolidated'!BY52</f>
        <v>0</v>
      </c>
      <c r="BZ157" s="248">
        <f>'2. Consolidated'!BZ52</f>
        <v>-0.007</v>
      </c>
      <c r="CA157" s="249">
        <f>'2. Consolidated'!CA52</f>
        <v>0</v>
      </c>
      <c r="CB157" s="249">
        <f>'2. Consolidated'!CB52</f>
        <v>0</v>
      </c>
      <c r="CC157" s="249">
        <f>'2. Consolidated'!CC52</f>
        <v>-2.241</v>
      </c>
      <c r="CD157" s="249">
        <f>'2. Consolidated'!CD52</f>
        <v>-2.195</v>
      </c>
      <c r="CE157" s="248">
        <f>'2. Consolidated'!CE52</f>
        <v>-4.436</v>
      </c>
      <c r="CF157" s="249">
        <f>'2. Consolidated'!CF52</f>
        <v>-2.195</v>
      </c>
      <c r="CG157" s="249">
        <f>'2. Consolidated'!CG52</f>
        <v>-2.195</v>
      </c>
      <c r="CH157" s="249">
        <f>'2. Consolidated'!CH52</f>
        <v>-2.195</v>
      </c>
      <c r="CI157" s="249">
        <f>'2. Consolidated'!CI52</f>
        <v>-2.197</v>
      </c>
      <c r="CJ157" s="248">
        <f>'2. Consolidated'!CJ52</f>
        <v>-8.782</v>
      </c>
      <c r="CK157" s="249">
        <f>'2. Consolidated'!CK52</f>
        <v>-2.195</v>
      </c>
      <c r="CL157" s="249">
        <f>'2. Consolidated'!CL52</f>
        <v>-2.195</v>
      </c>
      <c r="CM157" s="249">
        <f>'2. Consolidated'!CM52</f>
        <v>-2.189</v>
      </c>
      <c r="CN157" s="249">
        <f>'2. Consolidated'!CN52</f>
        <v>-2.17299999999999</v>
      </c>
      <c r="CO157" s="248">
        <f>'2. Consolidated'!CO52</f>
        <v>-8.75199999999999</v>
      </c>
      <c r="CP157" s="249">
        <f>'2. Consolidated'!CP52</f>
        <v>-1.878</v>
      </c>
      <c r="CQ157" s="249">
        <f>'2. Consolidated'!CQ52</f>
        <v>-1.879</v>
      </c>
      <c r="CR157" s="249">
        <f>'2. Consolidated'!CR52</f>
        <v>-1.253</v>
      </c>
      <c r="CS157" s="249">
        <f>'2. Consolidated'!CS52</f>
        <v>0</v>
      </c>
      <c r="CT157" s="248">
        <f>'2. Consolidated'!CT52</f>
        <v>-5.01</v>
      </c>
      <c r="CU157" s="249"/>
      <c r="CV157" s="249"/>
      <c r="CW157" s="249"/>
      <c r="CX157" s="249"/>
      <c r="CY157" s="248"/>
      <c r="CZ157" s="249"/>
      <c r="DA157" s="249"/>
      <c r="DB157" s="249"/>
      <c r="DC157" s="249"/>
      <c r="DD157" s="248"/>
      <c r="DE157" s="249"/>
      <c r="DF157" s="249"/>
      <c r="DG157" s="249"/>
      <c r="DH157" s="249"/>
      <c r="DI157" s="248"/>
      <c r="DJ157" s="249"/>
      <c r="DK157" s="249"/>
      <c r="DL157" s="249"/>
      <c r="DM157" s="249"/>
      <c r="DN157" s="248"/>
      <c r="DO157" s="249"/>
      <c r="DP157" s="249"/>
      <c r="DQ157" s="249"/>
      <c r="DR157" s="249"/>
      <c r="DS157" s="248"/>
    </row>
    <row r="158" s="3" customFormat="1" hidden="1" outlineLevel="1" spans="2:123">
      <c r="B158" s="263" t="s">
        <v>66</v>
      </c>
      <c r="C158" s="264">
        <v>10.46</v>
      </c>
      <c r="D158" s="265"/>
      <c r="E158" s="265"/>
      <c r="F158" s="265"/>
      <c r="G158" s="265"/>
      <c r="H158" s="264">
        <v>16.534374</v>
      </c>
      <c r="I158" s="265"/>
      <c r="J158" s="265"/>
      <c r="K158" s="265"/>
      <c r="L158" s="265"/>
      <c r="M158" s="264">
        <v>23.441724</v>
      </c>
      <c r="N158" s="265">
        <f>N156+N152</f>
        <v>6.847</v>
      </c>
      <c r="O158" s="265">
        <f>O156+O152</f>
        <v>9.744</v>
      </c>
      <c r="P158" s="265">
        <f>P156+P152</f>
        <v>11.847</v>
      </c>
      <c r="Q158" s="265">
        <f>Q156+Q152</f>
        <v>21.662</v>
      </c>
      <c r="R158" s="264">
        <f>SUM(N158:Q158)</f>
        <v>50.1</v>
      </c>
      <c r="S158" s="265">
        <f>S156+S152</f>
        <v>11.721</v>
      </c>
      <c r="T158" s="265">
        <f>T156+T152</f>
        <v>15.542</v>
      </c>
      <c r="U158" s="265">
        <f>U156+U152</f>
        <v>13.055</v>
      </c>
      <c r="V158" s="265">
        <f>V156+V152</f>
        <v>20.482</v>
      </c>
      <c r="W158" s="264">
        <f>SUM(S158:V158)</f>
        <v>60.8</v>
      </c>
      <c r="X158" s="265">
        <f>X156+X152</f>
        <v>9.853</v>
      </c>
      <c r="Y158" s="265">
        <f>Y156+Y152</f>
        <v>14.332</v>
      </c>
      <c r="Z158" s="265">
        <f>Z156+Z152</f>
        <v>20.926</v>
      </c>
      <c r="AA158" s="265">
        <f>AA156+AA152</f>
        <v>41.636</v>
      </c>
      <c r="AB158" s="264">
        <f>SUM(X158:AA158)</f>
        <v>86.747</v>
      </c>
      <c r="AC158" s="265">
        <f>AC156+AC152</f>
        <v>32.474</v>
      </c>
      <c r="AD158" s="265">
        <f>AD156+AD152</f>
        <v>34.243</v>
      </c>
      <c r="AE158" s="265">
        <f>AE156+AE152</f>
        <v>42.376</v>
      </c>
      <c r="AF158" s="265">
        <f>AF156+AF152</f>
        <v>71.329</v>
      </c>
      <c r="AG158" s="264">
        <f>SUM(AC158:AF158)</f>
        <v>180.422</v>
      </c>
      <c r="AH158" s="265">
        <f>AH156+AH152</f>
        <v>51.687</v>
      </c>
      <c r="AI158" s="265">
        <f>AI156+AI152</f>
        <v>59.483</v>
      </c>
      <c r="AJ158" s="265">
        <f>AJ156+AJ152</f>
        <v>59.721</v>
      </c>
      <c r="AK158" s="265">
        <f>AK156+AK152</f>
        <v>116.076</v>
      </c>
      <c r="AL158" s="264">
        <f>SUM(AH158:AK158)</f>
        <v>286.967</v>
      </c>
      <c r="AM158" s="265">
        <f>AM156+AM152</f>
        <v>73.065</v>
      </c>
      <c r="AN158" s="265">
        <f>AN156+AN152</f>
        <v>70.188</v>
      </c>
      <c r="AO158" s="265">
        <f>AO156+AO152</f>
        <v>80.611</v>
      </c>
      <c r="AP158" s="265">
        <f>AP156+AP152</f>
        <v>152.575</v>
      </c>
      <c r="AQ158" s="264">
        <f>SUM(AM158:AP158)</f>
        <v>376.439</v>
      </c>
      <c r="AR158" s="265">
        <f>AR156+AR152</f>
        <v>65.889</v>
      </c>
      <c r="AS158" s="265">
        <f>AS156+AS152</f>
        <v>78.986</v>
      </c>
      <c r="AT158" s="265">
        <f>AT156+AT152</f>
        <v>92.336</v>
      </c>
      <c r="AU158" s="265">
        <f>AU156+AU152</f>
        <v>154.147</v>
      </c>
      <c r="AV158" s="264">
        <f>SUM(AR158:AU158)</f>
        <v>391.358</v>
      </c>
      <c r="AW158" s="265">
        <f>AW156+AW152</f>
        <v>69.801</v>
      </c>
      <c r="AX158" s="265">
        <f>AX156+AX152</f>
        <v>67.888</v>
      </c>
      <c r="AY158" s="265">
        <f>AY156+AY152</f>
        <v>81.156</v>
      </c>
      <c r="AZ158" s="265">
        <f>AZ156+AZ152</f>
        <v>157.188</v>
      </c>
      <c r="BA158" s="264">
        <f>SUM(AW158:AZ158)</f>
        <v>376.033</v>
      </c>
      <c r="BB158" s="265">
        <f>BB156+BB152</f>
        <v>68.036</v>
      </c>
      <c r="BC158" s="265">
        <f>BC156+BC152</f>
        <v>66.579</v>
      </c>
      <c r="BD158" s="265">
        <f>BD156+BD152</f>
        <v>68.178</v>
      </c>
      <c r="BE158" s="265">
        <f>BE156+BE152</f>
        <v>166.283</v>
      </c>
      <c r="BF158" s="264">
        <f>SUM(BB158:BE158)</f>
        <v>369.076</v>
      </c>
      <c r="BG158" s="265">
        <f>BG156+BG152</f>
        <v>57.589</v>
      </c>
      <c r="BH158" s="265">
        <f>BH156+BH152</f>
        <v>73.959</v>
      </c>
      <c r="BI158" s="265">
        <f>BI156+BI152</f>
        <v>92.975</v>
      </c>
      <c r="BJ158" s="265">
        <f>BJ156+BJ152</f>
        <v>196.629</v>
      </c>
      <c r="BK158" s="264">
        <f>SUM(BG158:BJ158)</f>
        <v>421.152</v>
      </c>
      <c r="BL158" s="265">
        <f>BL156+BL152</f>
        <v>63.173</v>
      </c>
      <c r="BM158" s="265">
        <f>BM156+BM152</f>
        <v>74.142</v>
      </c>
      <c r="BN158" s="265">
        <f>BN156+BN152</f>
        <v>107.773</v>
      </c>
      <c r="BO158" s="271">
        <f>'2. Consolidated'!BO55</f>
        <v>258.136</v>
      </c>
      <c r="BP158" s="264">
        <f>SUM(BL158:BO158)</f>
        <v>503.224</v>
      </c>
      <c r="BQ158" s="265">
        <f>BQ156+BQ152</f>
        <v>104.305</v>
      </c>
      <c r="BR158" s="265">
        <f>BR156+BR152</f>
        <v>134.208</v>
      </c>
      <c r="BS158" s="265">
        <f>BS156+BS152</f>
        <v>135.903</v>
      </c>
      <c r="BT158" s="265">
        <f>BT156+BT152</f>
        <v>331.45</v>
      </c>
      <c r="BU158" s="264">
        <f>SUM(BQ158:BT158)</f>
        <v>705.866</v>
      </c>
      <c r="BV158" s="265">
        <f>BV156+BV152+BV157</f>
        <v>128.812</v>
      </c>
      <c r="BW158" s="265">
        <f t="shared" ref="BW158:CT158" si="967">BW156+BW152+BW157</f>
        <v>167.982</v>
      </c>
      <c r="BX158" s="265">
        <f t="shared" si="967"/>
        <v>175.822</v>
      </c>
      <c r="BY158" s="265">
        <f t="shared" si="967"/>
        <v>416.487</v>
      </c>
      <c r="BZ158" s="264">
        <f t="shared" si="967"/>
        <v>889.103</v>
      </c>
      <c r="CA158" s="265">
        <f t="shared" si="967"/>
        <v>32.751</v>
      </c>
      <c r="CB158" s="265">
        <f t="shared" si="967"/>
        <v>135.873</v>
      </c>
      <c r="CC158" s="265">
        <f t="shared" si="967"/>
        <v>213.451</v>
      </c>
      <c r="CD158" s="265">
        <f t="shared" si="967"/>
        <v>465.708</v>
      </c>
      <c r="CE158" s="264">
        <f t="shared" si="967"/>
        <v>847.783</v>
      </c>
      <c r="CF158" s="265">
        <f t="shared" si="967"/>
        <v>201.485</v>
      </c>
      <c r="CG158" s="265">
        <f t="shared" si="967"/>
        <v>299.174</v>
      </c>
      <c r="CH158" s="265">
        <f t="shared" si="967"/>
        <v>282.074</v>
      </c>
      <c r="CI158" s="265">
        <f t="shared" si="967"/>
        <v>592.016</v>
      </c>
      <c r="CJ158" s="264">
        <f t="shared" si="967"/>
        <v>1374.749</v>
      </c>
      <c r="CK158" s="265">
        <f t="shared" si="967"/>
        <v>260.347</v>
      </c>
      <c r="CL158" s="265">
        <f t="shared" si="967"/>
        <v>391.028</v>
      </c>
      <c r="CM158" s="265">
        <f t="shared" si="967"/>
        <v>352.427</v>
      </c>
      <c r="CN158" s="265">
        <f t="shared" si="967"/>
        <v>785.267</v>
      </c>
      <c r="CO158" s="264">
        <f t="shared" si="967"/>
        <v>1789.069</v>
      </c>
      <c r="CP158" s="265">
        <f t="shared" si="967"/>
        <v>401.414</v>
      </c>
      <c r="CQ158" s="265">
        <f t="shared" si="967"/>
        <v>479.257</v>
      </c>
      <c r="CR158" s="265">
        <f t="shared" si="967"/>
        <v>436.325</v>
      </c>
      <c r="CS158" s="265">
        <f t="shared" si="967"/>
        <v>913.89</v>
      </c>
      <c r="CT158" s="264">
        <f t="shared" si="967"/>
        <v>2230.886</v>
      </c>
      <c r="CU158" s="265"/>
      <c r="CV158" s="265"/>
      <c r="CW158" s="265"/>
      <c r="CX158" s="265"/>
      <c r="CY158" s="264"/>
      <c r="CZ158" s="265"/>
      <c r="DA158" s="265"/>
      <c r="DB158" s="265"/>
      <c r="DC158" s="265"/>
      <c r="DD158" s="264"/>
      <c r="DE158" s="265"/>
      <c r="DF158" s="265"/>
      <c r="DG158" s="265"/>
      <c r="DH158" s="265"/>
      <c r="DI158" s="264"/>
      <c r="DJ158" s="265"/>
      <c r="DK158" s="265"/>
      <c r="DL158" s="265"/>
      <c r="DM158" s="265"/>
      <c r="DN158" s="264"/>
      <c r="DO158" s="265"/>
      <c r="DP158" s="265"/>
      <c r="DQ158" s="265"/>
      <c r="DR158" s="265"/>
      <c r="DS158" s="264"/>
    </row>
    <row r="159" hidden="1" outlineLevel="1" spans="2:123">
      <c r="B159" s="149" t="s">
        <v>69</v>
      </c>
      <c r="C159" s="252"/>
      <c r="D159" s="253"/>
      <c r="E159" s="253"/>
      <c r="F159" s="253"/>
      <c r="G159" s="253"/>
      <c r="H159" s="254">
        <f>H158/C158-1</f>
        <v>0.580724091778203</v>
      </c>
      <c r="I159" s="253"/>
      <c r="J159" s="253"/>
      <c r="K159" s="253"/>
      <c r="L159" s="253"/>
      <c r="M159" s="254">
        <f>M158/H158-1</f>
        <v>0.417756971022914</v>
      </c>
      <c r="N159" s="255"/>
      <c r="O159" s="255"/>
      <c r="P159" s="255"/>
      <c r="Q159" s="255"/>
      <c r="R159" s="254">
        <f t="shared" ref="R159:AW159" si="968">R158/M158-1</f>
        <v>1.13721482259581</v>
      </c>
      <c r="S159" s="255">
        <f t="shared" si="968"/>
        <v>0.711844603475975</v>
      </c>
      <c r="T159" s="255">
        <f t="shared" si="968"/>
        <v>0.595032840722496</v>
      </c>
      <c r="U159" s="255">
        <f t="shared" si="968"/>
        <v>0.101966742635266</v>
      </c>
      <c r="V159" s="255">
        <f t="shared" si="968"/>
        <v>-0.0544732711660965</v>
      </c>
      <c r="W159" s="254">
        <f t="shared" si="968"/>
        <v>0.213572854291417</v>
      </c>
      <c r="X159" s="255">
        <f t="shared" si="968"/>
        <v>-0.159372067229758</v>
      </c>
      <c r="Y159" s="255">
        <f t="shared" si="968"/>
        <v>-0.0778535581006304</v>
      </c>
      <c r="Z159" s="255">
        <f t="shared" si="968"/>
        <v>0.602910762160091</v>
      </c>
      <c r="AA159" s="255">
        <f t="shared" si="968"/>
        <v>1.03280929596719</v>
      </c>
      <c r="AB159" s="254">
        <f t="shared" si="968"/>
        <v>0.426759868421052</v>
      </c>
      <c r="AC159" s="255">
        <f t="shared" si="968"/>
        <v>2.29584898000609</v>
      </c>
      <c r="AD159" s="255">
        <f t="shared" si="968"/>
        <v>1.38926876918783</v>
      </c>
      <c r="AE159" s="255">
        <f t="shared" si="968"/>
        <v>1.02504061932524</v>
      </c>
      <c r="AF159" s="255">
        <f t="shared" si="968"/>
        <v>0.713156883466231</v>
      </c>
      <c r="AG159" s="254">
        <f t="shared" si="968"/>
        <v>1.07986443335216</v>
      </c>
      <c r="AH159" s="255">
        <f t="shared" si="968"/>
        <v>0.591642544805075</v>
      </c>
      <c r="AI159" s="255">
        <f t="shared" si="968"/>
        <v>0.737084951668953</v>
      </c>
      <c r="AJ159" s="255">
        <f t="shared" si="968"/>
        <v>0.409311874646026</v>
      </c>
      <c r="AK159" s="255">
        <f t="shared" si="968"/>
        <v>0.627332501507101</v>
      </c>
      <c r="AL159" s="254">
        <f t="shared" si="968"/>
        <v>0.590532196738757</v>
      </c>
      <c r="AM159" s="255">
        <f t="shared" si="968"/>
        <v>0.413604968367288</v>
      </c>
      <c r="AN159" s="255">
        <f t="shared" si="968"/>
        <v>0.179967385639595</v>
      </c>
      <c r="AO159" s="255">
        <f t="shared" si="968"/>
        <v>0.349793205070243</v>
      </c>
      <c r="AP159" s="255">
        <f t="shared" si="968"/>
        <v>0.314440538957235</v>
      </c>
      <c r="AQ159" s="254">
        <f t="shared" si="968"/>
        <v>0.311784978760624</v>
      </c>
      <c r="AR159" s="255">
        <f t="shared" si="968"/>
        <v>-0.0982139191131183</v>
      </c>
      <c r="AS159" s="255">
        <f t="shared" si="968"/>
        <v>0.12534906251781</v>
      </c>
      <c r="AT159" s="255">
        <f t="shared" si="968"/>
        <v>0.145451613303395</v>
      </c>
      <c r="AU159" s="255">
        <f t="shared" si="968"/>
        <v>0.0103031296083889</v>
      </c>
      <c r="AV159" s="254">
        <f t="shared" si="968"/>
        <v>0.0396319191157133</v>
      </c>
      <c r="AW159" s="255">
        <f t="shared" si="968"/>
        <v>0.0593725811592223</v>
      </c>
      <c r="AX159" s="255">
        <f t="shared" ref="AX159:CK159" si="969">AX158/AS158-1</f>
        <v>-0.140505912440179</v>
      </c>
      <c r="AY159" s="255">
        <f t="shared" si="969"/>
        <v>-0.12107953560908</v>
      </c>
      <c r="AZ159" s="255">
        <f t="shared" si="969"/>
        <v>0.0197279220484343</v>
      </c>
      <c r="BA159" s="254">
        <f t="shared" si="969"/>
        <v>-0.0391585198207268</v>
      </c>
      <c r="BB159" s="255">
        <f t="shared" si="969"/>
        <v>-0.025286170685234</v>
      </c>
      <c r="BC159" s="255">
        <f t="shared" si="969"/>
        <v>-0.0192817581899601</v>
      </c>
      <c r="BD159" s="255">
        <f t="shared" si="969"/>
        <v>-0.159914239242939</v>
      </c>
      <c r="BE159" s="255">
        <f t="shared" si="969"/>
        <v>0.0578606509402757</v>
      </c>
      <c r="BF159" s="254">
        <f t="shared" si="969"/>
        <v>-0.0185010358133462</v>
      </c>
      <c r="BG159" s="255">
        <f t="shared" si="969"/>
        <v>-0.153551061202892</v>
      </c>
      <c r="BH159" s="255">
        <f t="shared" si="969"/>
        <v>0.110845762177263</v>
      </c>
      <c r="BI159" s="255">
        <f t="shared" si="969"/>
        <v>0.363709701076594</v>
      </c>
      <c r="BJ159" s="255">
        <f t="shared" si="969"/>
        <v>0.182496106036095</v>
      </c>
      <c r="BK159" s="254">
        <f t="shared" si="969"/>
        <v>0.141098310375099</v>
      </c>
      <c r="BL159" s="255">
        <f t="shared" si="969"/>
        <v>0.0969629616767089</v>
      </c>
      <c r="BM159" s="255">
        <f t="shared" si="969"/>
        <v>0.00247434389323797</v>
      </c>
      <c r="BN159" s="255">
        <f t="shared" si="969"/>
        <v>0.159161064802366</v>
      </c>
      <c r="BO159" s="275">
        <f t="shared" si="969"/>
        <v>0.312807368190857</v>
      </c>
      <c r="BP159" s="254">
        <f t="shared" si="969"/>
        <v>0.194875009497759</v>
      </c>
      <c r="BQ159" s="255">
        <f t="shared" si="969"/>
        <v>0.651100945023982</v>
      </c>
      <c r="BR159" s="255">
        <f t="shared" si="969"/>
        <v>0.810148094197621</v>
      </c>
      <c r="BS159" s="255">
        <f t="shared" si="969"/>
        <v>0.261011570616017</v>
      </c>
      <c r="BT159" s="255">
        <f t="shared" si="969"/>
        <v>0.284013078377289</v>
      </c>
      <c r="BU159" s="254">
        <f t="shared" si="969"/>
        <v>0.402687471185794</v>
      </c>
      <c r="BV159" s="255">
        <f t="shared" si="969"/>
        <v>0.234955179521595</v>
      </c>
      <c r="BW159" s="255">
        <f t="shared" si="969"/>
        <v>0.251654148783977</v>
      </c>
      <c r="BX159" s="255">
        <f t="shared" si="969"/>
        <v>0.293731558538075</v>
      </c>
      <c r="BY159" s="255">
        <f t="shared" si="969"/>
        <v>0.256560567204707</v>
      </c>
      <c r="BZ159" s="254">
        <f t="shared" si="969"/>
        <v>0.259591763875863</v>
      </c>
      <c r="CA159" s="255">
        <f t="shared" si="969"/>
        <v>-0.745745737974723</v>
      </c>
      <c r="CB159" s="255">
        <f t="shared" si="969"/>
        <v>-0.191145479872844</v>
      </c>
      <c r="CC159" s="255">
        <f t="shared" si="969"/>
        <v>0.214017585967626</v>
      </c>
      <c r="CD159" s="255">
        <f t="shared" si="969"/>
        <v>0.118181359802347</v>
      </c>
      <c r="CE159" s="254">
        <f t="shared" ref="CE159:CT159" si="970">CE158/BZ158-1</f>
        <v>-0.0464738056220708</v>
      </c>
      <c r="CF159" s="255">
        <f t="shared" si="969"/>
        <v>5.15202589233916</v>
      </c>
      <c r="CG159" s="255">
        <f t="shared" si="969"/>
        <v>1.20186497685339</v>
      </c>
      <c r="CH159" s="255">
        <f t="shared" si="969"/>
        <v>0.321492989023242</v>
      </c>
      <c r="CI159" s="255">
        <f t="shared" si="969"/>
        <v>0.271217157532188</v>
      </c>
      <c r="CJ159" s="254">
        <f t="shared" si="970"/>
        <v>0.621581230102515</v>
      </c>
      <c r="CK159" s="255">
        <f t="shared" si="969"/>
        <v>0.292140854157878</v>
      </c>
      <c r="CL159" s="255">
        <f t="shared" si="970"/>
        <v>0.307025343111366</v>
      </c>
      <c r="CM159" s="255">
        <f t="shared" si="970"/>
        <v>0.249413274530797</v>
      </c>
      <c r="CN159" s="255">
        <f t="shared" si="970"/>
        <v>0.326428677603308</v>
      </c>
      <c r="CO159" s="254">
        <f t="shared" si="970"/>
        <v>0.301378651666595</v>
      </c>
      <c r="CP159" s="255">
        <f t="shared" si="970"/>
        <v>0.541842233634342</v>
      </c>
      <c r="CQ159" s="255">
        <f t="shared" si="970"/>
        <v>0.225633458473562</v>
      </c>
      <c r="CR159" s="255">
        <f t="shared" si="970"/>
        <v>0.238057810553675</v>
      </c>
      <c r="CS159" s="255">
        <f t="shared" si="970"/>
        <v>0.16379524416536</v>
      </c>
      <c r="CT159" s="254">
        <f t="shared" si="970"/>
        <v>0.246953583120606</v>
      </c>
      <c r="CU159" s="255"/>
      <c r="CV159" s="255"/>
      <c r="CW159" s="255"/>
      <c r="CX159" s="255"/>
      <c r="CY159" s="254"/>
      <c r="CZ159" s="255"/>
      <c r="DA159" s="255"/>
      <c r="DB159" s="255"/>
      <c r="DC159" s="255"/>
      <c r="DD159" s="254"/>
      <c r="DE159" s="255"/>
      <c r="DF159" s="255"/>
      <c r="DG159" s="255"/>
      <c r="DH159" s="255"/>
      <c r="DI159" s="254"/>
      <c r="DJ159" s="255"/>
      <c r="DK159" s="255"/>
      <c r="DL159" s="255"/>
      <c r="DM159" s="255"/>
      <c r="DN159" s="254"/>
      <c r="DO159" s="255"/>
      <c r="DP159" s="255"/>
      <c r="DQ159" s="255"/>
      <c r="DR159" s="255"/>
      <c r="DS159" s="254"/>
    </row>
    <row r="160" hidden="1" outlineLevel="1" spans="2:123">
      <c r="B160" s="262" t="s">
        <v>72</v>
      </c>
      <c r="C160" s="254">
        <f>C158/C$13</f>
        <v>0.256693415789344</v>
      </c>
      <c r="D160" s="253"/>
      <c r="E160" s="253"/>
      <c r="F160" s="253"/>
      <c r="G160" s="253"/>
      <c r="H160" s="254">
        <f>H158/H$13</f>
        <v>0.196535745369322</v>
      </c>
      <c r="I160" s="253"/>
      <c r="J160" s="253"/>
      <c r="K160" s="253"/>
      <c r="L160" s="253"/>
      <c r="M160" s="254">
        <f t="shared" ref="M160:AR160" si="971">M158/M$13</f>
        <v>0.157448702935049</v>
      </c>
      <c r="N160" s="255">
        <f t="shared" si="971"/>
        <v>0.152870800663442</v>
      </c>
      <c r="O160" s="255">
        <f t="shared" si="971"/>
        <v>0.166050498437789</v>
      </c>
      <c r="P160" s="255">
        <f t="shared" si="971"/>
        <v>0.179092212459267</v>
      </c>
      <c r="Q160" s="255">
        <f t="shared" si="971"/>
        <v>0.206122886921643</v>
      </c>
      <c r="R160" s="254">
        <f t="shared" si="971"/>
        <v>0.182371930640366</v>
      </c>
      <c r="S160" s="255">
        <f t="shared" si="971"/>
        <v>0.14994724021727</v>
      </c>
      <c r="T160" s="255">
        <f t="shared" si="971"/>
        <v>0.181811326752072</v>
      </c>
      <c r="U160" s="255">
        <f t="shared" si="971"/>
        <v>0.14997621690823</v>
      </c>
      <c r="V160" s="255">
        <f t="shared" si="971"/>
        <v>0.19709202182427</v>
      </c>
      <c r="W160" s="254">
        <f t="shared" si="971"/>
        <v>0.171451202342727</v>
      </c>
      <c r="X160" s="255">
        <f t="shared" si="971"/>
        <v>0.120629285014691</v>
      </c>
      <c r="Y160" s="255">
        <f t="shared" si="971"/>
        <v>0.146662436937813</v>
      </c>
      <c r="Z160" s="255">
        <f t="shared" si="971"/>
        <v>0.185364643771425</v>
      </c>
      <c r="AA160" s="255">
        <f t="shared" si="971"/>
        <v>0.259243116695516</v>
      </c>
      <c r="AB160" s="254">
        <f t="shared" si="971"/>
        <v>0.191537608909732</v>
      </c>
      <c r="AC160" s="255">
        <f t="shared" si="971"/>
        <v>0.234813481131189</v>
      </c>
      <c r="AD160" s="255">
        <f t="shared" si="971"/>
        <v>0.224975034163776</v>
      </c>
      <c r="AE160" s="255">
        <f t="shared" si="971"/>
        <v>0.241046643913538</v>
      </c>
      <c r="AF160" s="255">
        <f t="shared" si="971"/>
        <v>0.290665406134499</v>
      </c>
      <c r="AG160" s="254">
        <f t="shared" si="971"/>
        <v>0.253507075975406</v>
      </c>
      <c r="AH160" s="255">
        <f t="shared" si="971"/>
        <v>0.276726630260199</v>
      </c>
      <c r="AI160" s="255">
        <f t="shared" si="971"/>
        <v>0.280153351261992</v>
      </c>
      <c r="AJ160" s="255">
        <f t="shared" si="971"/>
        <v>0.259412899190326</v>
      </c>
      <c r="AK160" s="255">
        <f t="shared" si="971"/>
        <v>0.312435400516796</v>
      </c>
      <c r="AL160" s="254">
        <f t="shared" si="971"/>
        <v>0.28672643651976</v>
      </c>
      <c r="AM160" s="255">
        <f t="shared" si="971"/>
        <v>0.255742077298406</v>
      </c>
      <c r="AN160" s="255">
        <f t="shared" si="971"/>
        <v>0.248335302900571</v>
      </c>
      <c r="AO160" s="255">
        <f t="shared" si="971"/>
        <v>0.254665331383061</v>
      </c>
      <c r="AP160" s="255">
        <f t="shared" si="971"/>
        <v>0.314247464085269</v>
      </c>
      <c r="AQ160" s="254">
        <f t="shared" si="971"/>
        <v>0.274693993114389</v>
      </c>
      <c r="AR160" s="255">
        <f t="shared" si="971"/>
        <v>0.190550693789729</v>
      </c>
      <c r="AS160" s="255">
        <f t="shared" ref="AS160:CI160" si="972">AS158/AS$13</f>
        <v>0.229268561708847</v>
      </c>
      <c r="AT160" s="255">
        <f t="shared" si="972"/>
        <v>0.243053435114504</v>
      </c>
      <c r="AU160" s="255">
        <f t="shared" si="972"/>
        <v>0.295871537621427</v>
      </c>
      <c r="AV160" s="254">
        <f t="shared" si="972"/>
        <v>0.245953338009085</v>
      </c>
      <c r="AW160" s="255">
        <f t="shared" si="972"/>
        <v>0.181481365926712</v>
      </c>
      <c r="AX160" s="255">
        <f t="shared" si="972"/>
        <v>0.173747910945494</v>
      </c>
      <c r="AY160" s="255">
        <f t="shared" si="972"/>
        <v>0.193506852711995</v>
      </c>
      <c r="AZ160" s="255">
        <f t="shared" si="972"/>
        <v>0.260906370286272</v>
      </c>
      <c r="BA160" s="254">
        <f t="shared" si="972"/>
        <v>0.20923153109542</v>
      </c>
      <c r="BB160" s="255">
        <f t="shared" si="972"/>
        <v>0.160635022571445</v>
      </c>
      <c r="BC160" s="255">
        <f t="shared" si="972"/>
        <v>0.146970265557052</v>
      </c>
      <c r="BD160" s="255">
        <f t="shared" si="972"/>
        <v>0.142128402957725</v>
      </c>
      <c r="BE160" s="255">
        <f t="shared" si="972"/>
        <v>0.236104879337078</v>
      </c>
      <c r="BF160" s="254">
        <f t="shared" si="972"/>
        <v>0.179117631785717</v>
      </c>
      <c r="BG160" s="255">
        <f t="shared" si="972"/>
        <v>0.116220263321467</v>
      </c>
      <c r="BH160" s="255">
        <f t="shared" si="972"/>
        <v>0.143743683433103</v>
      </c>
      <c r="BI160" s="255">
        <f t="shared" si="972"/>
        <v>0.170779330511961</v>
      </c>
      <c r="BJ160" s="255">
        <f t="shared" si="972"/>
        <v>0.248916373395448</v>
      </c>
      <c r="BK160" s="254">
        <f t="shared" si="972"/>
        <v>0.179642312377793</v>
      </c>
      <c r="BL160" s="255">
        <f t="shared" si="972"/>
        <v>0.121414856997888</v>
      </c>
      <c r="BM160" s="255">
        <f t="shared" si="972"/>
        <v>0.12759915601648</v>
      </c>
      <c r="BN160" s="255">
        <f t="shared" si="972"/>
        <v>0.174098676324725</v>
      </c>
      <c r="BO160" s="275">
        <f t="shared" si="972"/>
        <v>0.277930187988544</v>
      </c>
      <c r="BP160" s="254">
        <f t="shared" si="972"/>
        <v>0.189954985986203</v>
      </c>
      <c r="BQ160" s="255">
        <f t="shared" si="972"/>
        <v>0.160553212449589</v>
      </c>
      <c r="BR160" s="255">
        <f t="shared" si="972"/>
        <v>0.185498272287491</v>
      </c>
      <c r="BS160" s="255">
        <f t="shared" si="972"/>
        <v>0.181772341521156</v>
      </c>
      <c r="BT160" s="255">
        <f t="shared" si="972"/>
        <v>0.2838962436103</v>
      </c>
      <c r="BU160" s="254">
        <f t="shared" si="972"/>
        <v>0.214658614325435</v>
      </c>
      <c r="BV160" s="255">
        <f t="shared" si="972"/>
        <v>0.164654902436998</v>
      </c>
      <c r="BW160" s="255">
        <f t="shared" si="972"/>
        <v>0.190164283320805</v>
      </c>
      <c r="BX160" s="255">
        <f t="shared" si="972"/>
        <v>0.191924462394935</v>
      </c>
      <c r="BY160" s="255">
        <f t="shared" si="972"/>
        <v>0.2980228980322</v>
      </c>
      <c r="BZ160" s="254">
        <f t="shared" si="972"/>
        <v>0.223433863573367</v>
      </c>
      <c r="CA160" s="255">
        <f t="shared" si="972"/>
        <v>0.0502345228709649</v>
      </c>
      <c r="CB160" s="255">
        <f t="shared" si="972"/>
        <v>0.150478603759501</v>
      </c>
      <c r="CC160" s="255">
        <f t="shared" si="972"/>
        <v>0.191020255480005</v>
      </c>
      <c r="CD160" s="255">
        <f t="shared" si="972"/>
        <v>0.269265104489486</v>
      </c>
      <c r="CE160" s="254">
        <f t="shared" si="972"/>
        <v>0.192595707424034</v>
      </c>
      <c r="CF160" s="255">
        <f t="shared" si="972"/>
        <v>0.164279610852556</v>
      </c>
      <c r="CG160" s="255">
        <f t="shared" si="972"/>
        <v>0.206238996069262</v>
      </c>
      <c r="CH160" s="255">
        <f t="shared" si="972"/>
        <v>0.194477327617292</v>
      </c>
      <c r="CI160" s="255">
        <f t="shared" si="972"/>
        <v>0.278059012672949</v>
      </c>
      <c r="CJ160" s="254">
        <f t="shared" ref="CJ160:CT160" si="973">CJ158/CJ$13</f>
        <v>0.219727210407797</v>
      </c>
      <c r="CK160" s="255">
        <f t="shared" si="973"/>
        <v>0.161359138697324</v>
      </c>
      <c r="CL160" s="255">
        <f t="shared" si="973"/>
        <v>0.209293014930997</v>
      </c>
      <c r="CM160" s="255">
        <f t="shared" si="973"/>
        <v>0.189794328040071</v>
      </c>
      <c r="CN160" s="255">
        <f t="shared" si="973"/>
        <v>0.283301910140492</v>
      </c>
      <c r="CO160" s="254">
        <f t="shared" si="973"/>
        <v>0.22058628067899</v>
      </c>
      <c r="CP160" s="255">
        <f t="shared" si="973"/>
        <v>0.20062755148961</v>
      </c>
      <c r="CQ160" s="255">
        <f t="shared" si="973"/>
        <v>0.216940337186222</v>
      </c>
      <c r="CR160" s="255">
        <f t="shared" si="973"/>
        <v>0.197950021277387</v>
      </c>
      <c r="CS160" s="255">
        <f t="shared" si="973"/>
        <v>0.285135922308893</v>
      </c>
      <c r="CT160" s="254">
        <f t="shared" si="973"/>
        <v>0.231918237522608</v>
      </c>
      <c r="CU160" s="255"/>
      <c r="CV160" s="255"/>
      <c r="CW160" s="255"/>
      <c r="CX160" s="255"/>
      <c r="CY160" s="254"/>
      <c r="CZ160" s="255"/>
      <c r="DA160" s="255"/>
      <c r="DB160" s="255"/>
      <c r="DC160" s="255"/>
      <c r="DD160" s="254"/>
      <c r="DE160" s="255"/>
      <c r="DF160" s="255"/>
      <c r="DG160" s="255"/>
      <c r="DH160" s="255"/>
      <c r="DI160" s="254"/>
      <c r="DJ160" s="255"/>
      <c r="DK160" s="255"/>
      <c r="DL160" s="255"/>
      <c r="DM160" s="255"/>
      <c r="DN160" s="254"/>
      <c r="DO160" s="255"/>
      <c r="DP160" s="255"/>
      <c r="DQ160" s="255"/>
      <c r="DR160" s="255"/>
      <c r="DS160" s="254"/>
    </row>
    <row r="161" hidden="1" outlineLevel="1" spans="2:123">
      <c r="B161" s="256" t="s">
        <v>73</v>
      </c>
      <c r="C161" s="246"/>
      <c r="D161" s="247"/>
      <c r="E161" s="247"/>
      <c r="F161" s="247"/>
      <c r="G161" s="247"/>
      <c r="H161" s="259">
        <f>(H160-C160)*100*100</f>
        <v>-601.576704200225</v>
      </c>
      <c r="I161" s="247"/>
      <c r="J161" s="247"/>
      <c r="K161" s="247"/>
      <c r="L161" s="247"/>
      <c r="M161" s="259">
        <f>(M160-H160)*100*100</f>
        <v>-390.870424342733</v>
      </c>
      <c r="N161" s="260"/>
      <c r="O161" s="260"/>
      <c r="P161" s="260"/>
      <c r="Q161" s="260"/>
      <c r="R161" s="259">
        <f t="shared" ref="R161:AW161" si="974">(R160-M160)*100*100</f>
        <v>249.23227705317</v>
      </c>
      <c r="S161" s="260">
        <f t="shared" si="974"/>
        <v>-29.2356044617201</v>
      </c>
      <c r="T161" s="260">
        <f t="shared" si="974"/>
        <v>157.608283142828</v>
      </c>
      <c r="U161" s="260">
        <f t="shared" si="974"/>
        <v>-291.159955510367</v>
      </c>
      <c r="V161" s="260">
        <f t="shared" si="974"/>
        <v>-90.3086509737225</v>
      </c>
      <c r="W161" s="259">
        <f t="shared" si="974"/>
        <v>-109.207282976383</v>
      </c>
      <c r="X161" s="260">
        <f t="shared" si="974"/>
        <v>-293.179552025784</v>
      </c>
      <c r="Y161" s="260">
        <f t="shared" si="974"/>
        <v>-351.488898142594</v>
      </c>
      <c r="Z161" s="260">
        <f t="shared" si="974"/>
        <v>353.884268631952</v>
      </c>
      <c r="AA161" s="260">
        <f t="shared" si="974"/>
        <v>621.510948712452</v>
      </c>
      <c r="AB161" s="259">
        <f t="shared" si="974"/>
        <v>200.864065670051</v>
      </c>
      <c r="AC161" s="260">
        <f t="shared" si="974"/>
        <v>1141.84196116497</v>
      </c>
      <c r="AD161" s="260">
        <f t="shared" si="974"/>
        <v>783.125972259632</v>
      </c>
      <c r="AE161" s="260">
        <f t="shared" si="974"/>
        <v>556.820001421126</v>
      </c>
      <c r="AF161" s="260">
        <f t="shared" si="974"/>
        <v>314.222894389837</v>
      </c>
      <c r="AG161" s="259">
        <f t="shared" si="974"/>
        <v>619.694670656731</v>
      </c>
      <c r="AH161" s="260">
        <f t="shared" si="974"/>
        <v>419.131491290105</v>
      </c>
      <c r="AI161" s="260">
        <f t="shared" si="974"/>
        <v>551.783170982163</v>
      </c>
      <c r="AJ161" s="260">
        <f t="shared" si="974"/>
        <v>183.662552767875</v>
      </c>
      <c r="AK161" s="260">
        <f t="shared" si="974"/>
        <v>217.699943822965</v>
      </c>
      <c r="AL161" s="259">
        <f t="shared" si="974"/>
        <v>332.193605443544</v>
      </c>
      <c r="AM161" s="260">
        <f t="shared" si="974"/>
        <v>-209.845529617931</v>
      </c>
      <c r="AN161" s="260">
        <f t="shared" si="974"/>
        <v>-318.180483614212</v>
      </c>
      <c r="AO161" s="260">
        <f t="shared" si="974"/>
        <v>-47.475678072646</v>
      </c>
      <c r="AP161" s="260">
        <f t="shared" si="974"/>
        <v>18.1206356847269</v>
      </c>
      <c r="AQ161" s="259">
        <f t="shared" si="974"/>
        <v>-120.324434053709</v>
      </c>
      <c r="AR161" s="260">
        <f t="shared" si="974"/>
        <v>-651.913835086772</v>
      </c>
      <c r="AS161" s="260">
        <f t="shared" si="974"/>
        <v>-190.66741191724</v>
      </c>
      <c r="AT161" s="260">
        <f t="shared" si="974"/>
        <v>-116.118962685572</v>
      </c>
      <c r="AU161" s="260">
        <f t="shared" si="974"/>
        <v>-183.759264638418</v>
      </c>
      <c r="AV161" s="259">
        <f t="shared" si="974"/>
        <v>-287.40655105304</v>
      </c>
      <c r="AW161" s="260">
        <f t="shared" si="974"/>
        <v>-90.6932786301709</v>
      </c>
      <c r="AX161" s="260">
        <f t="shared" ref="AX161:CK161" si="975">(AX160-AS160)*100*100</f>
        <v>-555.206507633531</v>
      </c>
      <c r="AY161" s="260">
        <f t="shared" si="975"/>
        <v>-495.465824025085</v>
      </c>
      <c r="AZ161" s="260">
        <f t="shared" si="975"/>
        <v>-349.651673351546</v>
      </c>
      <c r="BA161" s="259">
        <f t="shared" si="975"/>
        <v>-367.218069136649</v>
      </c>
      <c r="BB161" s="260">
        <f t="shared" si="975"/>
        <v>-208.46343355267</v>
      </c>
      <c r="BC161" s="260">
        <f t="shared" si="975"/>
        <v>-267.776453884422</v>
      </c>
      <c r="BD161" s="260">
        <f t="shared" si="975"/>
        <v>-513.784497542703</v>
      </c>
      <c r="BE161" s="260">
        <f t="shared" si="975"/>
        <v>-248.01490949194</v>
      </c>
      <c r="BF161" s="259">
        <f t="shared" si="975"/>
        <v>-301.138993097036</v>
      </c>
      <c r="BG161" s="260">
        <f t="shared" si="975"/>
        <v>-444.147592499778</v>
      </c>
      <c r="BH161" s="260">
        <f t="shared" si="975"/>
        <v>-32.2658212394902</v>
      </c>
      <c r="BI161" s="260">
        <f t="shared" si="975"/>
        <v>286.509275542364</v>
      </c>
      <c r="BJ161" s="260">
        <f t="shared" si="975"/>
        <v>128.114940583696</v>
      </c>
      <c r="BK161" s="259">
        <f t="shared" si="975"/>
        <v>5.24680592076887</v>
      </c>
      <c r="BL161" s="260">
        <f t="shared" si="975"/>
        <v>51.9459367642085</v>
      </c>
      <c r="BM161" s="260">
        <f t="shared" si="975"/>
        <v>-161.445274166223</v>
      </c>
      <c r="BN161" s="260">
        <f t="shared" si="975"/>
        <v>33.193458127638</v>
      </c>
      <c r="BO161" s="276">
        <f t="shared" si="975"/>
        <v>290.138145930964</v>
      </c>
      <c r="BP161" s="259">
        <f t="shared" si="975"/>
        <v>103.126736084098</v>
      </c>
      <c r="BQ161" s="260">
        <f t="shared" si="975"/>
        <v>391.383554517012</v>
      </c>
      <c r="BR161" s="260">
        <f t="shared" si="975"/>
        <v>578.99116271011</v>
      </c>
      <c r="BS161" s="260">
        <f t="shared" si="975"/>
        <v>76.7366519643092</v>
      </c>
      <c r="BT161" s="260">
        <f t="shared" si="975"/>
        <v>59.6605562175617</v>
      </c>
      <c r="BU161" s="259">
        <f t="shared" si="975"/>
        <v>247.036283392317</v>
      </c>
      <c r="BV161" s="260">
        <f t="shared" si="975"/>
        <v>41.0168998740887</v>
      </c>
      <c r="BW161" s="260">
        <f t="shared" si="975"/>
        <v>46.6601103331399</v>
      </c>
      <c r="BX161" s="260">
        <f t="shared" si="975"/>
        <v>101.521208737789</v>
      </c>
      <c r="BY161" s="260">
        <f t="shared" si="975"/>
        <v>141.266544219001</v>
      </c>
      <c r="BZ161" s="259">
        <f t="shared" si="975"/>
        <v>87.7524924793169</v>
      </c>
      <c r="CA161" s="260">
        <f t="shared" si="975"/>
        <v>-1144.20379566033</v>
      </c>
      <c r="CB161" s="260">
        <f t="shared" si="975"/>
        <v>-396.856795613044</v>
      </c>
      <c r="CC161" s="260">
        <f t="shared" si="975"/>
        <v>-9.04206914930178</v>
      </c>
      <c r="CD161" s="260">
        <f t="shared" si="975"/>
        <v>-287.577935427141</v>
      </c>
      <c r="CE161" s="259">
        <f t="shared" ref="CE161:CT161" si="976">(CE160-BZ160)*100*100</f>
        <v>-308.381561493325</v>
      </c>
      <c r="CF161" s="260">
        <f t="shared" si="975"/>
        <v>1140.45087981592</v>
      </c>
      <c r="CG161" s="260">
        <f t="shared" si="975"/>
        <v>557.603923097606</v>
      </c>
      <c r="CH161" s="260">
        <f t="shared" si="975"/>
        <v>34.5707213728694</v>
      </c>
      <c r="CI161" s="260">
        <f t="shared" si="975"/>
        <v>87.9390818346226</v>
      </c>
      <c r="CJ161" s="259">
        <f t="shared" si="976"/>
        <v>271.315029837629</v>
      </c>
      <c r="CK161" s="260">
        <f t="shared" si="975"/>
        <v>-29.2047215523278</v>
      </c>
      <c r="CL161" s="260">
        <f t="shared" si="976"/>
        <v>30.5401886173556</v>
      </c>
      <c r="CM161" s="260">
        <f t="shared" si="976"/>
        <v>-46.8299957722054</v>
      </c>
      <c r="CN161" s="260">
        <f t="shared" si="976"/>
        <v>52.4289746754314</v>
      </c>
      <c r="CO161" s="259">
        <f t="shared" si="976"/>
        <v>8.59070271192919</v>
      </c>
      <c r="CP161" s="260">
        <f t="shared" si="976"/>
        <v>392.684127922864</v>
      </c>
      <c r="CQ161" s="260">
        <f t="shared" si="976"/>
        <v>76.4732225522483</v>
      </c>
      <c r="CR161" s="260">
        <f t="shared" si="976"/>
        <v>81.5569323731599</v>
      </c>
      <c r="CS161" s="260">
        <f t="shared" si="976"/>
        <v>18.3401216840134</v>
      </c>
      <c r="CT161" s="259">
        <f t="shared" si="976"/>
        <v>113.319568436183</v>
      </c>
      <c r="CU161" s="260"/>
      <c r="CV161" s="260"/>
      <c r="CW161" s="260"/>
      <c r="CX161" s="260"/>
      <c r="CY161" s="259"/>
      <c r="CZ161" s="260"/>
      <c r="DA161" s="260"/>
      <c r="DB161" s="260"/>
      <c r="DC161" s="260"/>
      <c r="DD161" s="259"/>
      <c r="DE161" s="260"/>
      <c r="DF161" s="260"/>
      <c r="DG161" s="260"/>
      <c r="DH161" s="260"/>
      <c r="DI161" s="259"/>
      <c r="DJ161" s="260"/>
      <c r="DK161" s="260"/>
      <c r="DL161" s="260"/>
      <c r="DM161" s="260"/>
      <c r="DN161" s="259"/>
      <c r="DO161" s="260"/>
      <c r="DP161" s="260"/>
      <c r="DQ161" s="260"/>
      <c r="DR161" s="260"/>
      <c r="DS161" s="259"/>
    </row>
    <row r="162" hidden="1" outlineLevel="1" spans="2:123">
      <c r="B162" s="278"/>
      <c r="C162" s="279"/>
      <c r="D162" s="247"/>
      <c r="E162" s="247"/>
      <c r="F162" s="247"/>
      <c r="G162" s="247"/>
      <c r="H162" s="246"/>
      <c r="I162" s="247"/>
      <c r="J162" s="247"/>
      <c r="K162" s="247"/>
      <c r="L162" s="247"/>
      <c r="M162" s="246"/>
      <c r="N162" s="247"/>
      <c r="O162" s="247"/>
      <c r="P162" s="247"/>
      <c r="Q162" s="247"/>
      <c r="R162" s="246"/>
      <c r="S162" s="247"/>
      <c r="T162" s="247"/>
      <c r="U162" s="247"/>
      <c r="V162" s="247"/>
      <c r="W162" s="246"/>
      <c r="X162" s="247"/>
      <c r="Y162" s="247"/>
      <c r="Z162" s="247"/>
      <c r="AA162" s="247"/>
      <c r="AB162" s="246"/>
      <c r="AC162" s="247"/>
      <c r="AD162" s="247"/>
      <c r="AE162" s="247"/>
      <c r="AF162" s="247"/>
      <c r="AG162" s="246"/>
      <c r="AH162" s="247"/>
      <c r="AI162" s="247"/>
      <c r="AJ162" s="247"/>
      <c r="AK162" s="247"/>
      <c r="AL162" s="246"/>
      <c r="AM162" s="247"/>
      <c r="AN162" s="247"/>
      <c r="AO162" s="247"/>
      <c r="AP162" s="247"/>
      <c r="AQ162" s="246"/>
      <c r="AR162" s="247"/>
      <c r="AS162" s="247"/>
      <c r="AT162" s="247"/>
      <c r="AU162" s="247"/>
      <c r="AV162" s="246"/>
      <c r="AW162" s="247"/>
      <c r="AX162" s="247"/>
      <c r="AY162" s="247"/>
      <c r="AZ162" s="247"/>
      <c r="BA162" s="246"/>
      <c r="BB162" s="247"/>
      <c r="BC162" s="247"/>
      <c r="BD162" s="247"/>
      <c r="BE162" s="247"/>
      <c r="BF162" s="246"/>
      <c r="BG162" s="247"/>
      <c r="BH162" s="247"/>
      <c r="BI162" s="247"/>
      <c r="BJ162" s="247"/>
      <c r="BK162" s="246"/>
      <c r="BL162" s="247"/>
      <c r="BM162" s="247"/>
      <c r="BN162" s="247"/>
      <c r="BO162" s="273"/>
      <c r="BP162" s="246"/>
      <c r="BQ162" s="247"/>
      <c r="BR162" s="247"/>
      <c r="BS162" s="247"/>
      <c r="BT162" s="247"/>
      <c r="BU162" s="246"/>
      <c r="BV162" s="247"/>
      <c r="BW162" s="247"/>
      <c r="BX162" s="247"/>
      <c r="BY162" s="247"/>
      <c r="BZ162" s="246"/>
      <c r="CA162" s="247"/>
      <c r="CB162" s="247"/>
      <c r="CC162" s="247"/>
      <c r="CD162" s="247"/>
      <c r="CE162" s="246"/>
      <c r="CF162" s="247"/>
      <c r="CG162" s="247"/>
      <c r="CH162" s="247"/>
      <c r="CI162" s="247"/>
      <c r="CJ162" s="246"/>
      <c r="CK162" s="247"/>
      <c r="CL162" s="247"/>
      <c r="CM162" s="247"/>
      <c r="CN162" s="247"/>
      <c r="CO162" s="246"/>
      <c r="CP162" s="247"/>
      <c r="CQ162" s="247"/>
      <c r="CR162" s="247"/>
      <c r="CS162" s="247"/>
      <c r="CT162" s="246"/>
      <c r="CU162" s="247"/>
      <c r="CV162" s="247"/>
      <c r="CW162" s="247"/>
      <c r="CX162" s="247"/>
      <c r="CY162" s="246"/>
      <c r="CZ162" s="247"/>
      <c r="DA162" s="247"/>
      <c r="DB162" s="247"/>
      <c r="DC162" s="247"/>
      <c r="DD162" s="246"/>
      <c r="DE162" s="247"/>
      <c r="DF162" s="247"/>
      <c r="DG162" s="247"/>
      <c r="DH162" s="247"/>
      <c r="DI162" s="246"/>
      <c r="DJ162" s="247"/>
      <c r="DK162" s="247"/>
      <c r="DL162" s="247"/>
      <c r="DM162" s="247"/>
      <c r="DN162" s="246"/>
      <c r="DO162" s="247"/>
      <c r="DP162" s="247"/>
      <c r="DQ162" s="247"/>
      <c r="DR162" s="247"/>
      <c r="DS162" s="246"/>
    </row>
    <row r="163" collapsed="1" spans="2:123">
      <c r="B163" s="112" t="s">
        <v>365</v>
      </c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  <c r="AA163" s="280"/>
      <c r="AB163" s="280"/>
      <c r="AC163" s="280"/>
      <c r="AD163" s="280"/>
      <c r="AE163" s="280"/>
      <c r="AF163" s="280"/>
      <c r="AG163" s="280"/>
      <c r="AH163" s="280"/>
      <c r="AI163" s="280"/>
      <c r="AJ163" s="280"/>
      <c r="AK163" s="280"/>
      <c r="AL163" s="280"/>
      <c r="AM163" s="280"/>
      <c r="AN163" s="280"/>
      <c r="AO163" s="280"/>
      <c r="AP163" s="280"/>
      <c r="AQ163" s="280"/>
      <c r="AR163" s="280"/>
      <c r="AS163" s="280"/>
      <c r="AT163" s="280"/>
      <c r="AU163" s="280"/>
      <c r="AV163" s="280"/>
      <c r="AW163" s="280"/>
      <c r="AX163" s="280"/>
      <c r="AY163" s="280"/>
      <c r="AZ163" s="280"/>
      <c r="BA163" s="280"/>
      <c r="BB163" s="280"/>
      <c r="BC163" s="280"/>
      <c r="BD163" s="280"/>
      <c r="BE163" s="280"/>
      <c r="BF163" s="280"/>
      <c r="BG163" s="280"/>
      <c r="BH163" s="280"/>
      <c r="BI163" s="280"/>
      <c r="BJ163" s="280"/>
      <c r="BK163" s="280"/>
      <c r="BL163" s="280"/>
      <c r="BM163" s="280"/>
      <c r="BN163" s="280"/>
      <c r="BO163" s="280"/>
      <c r="BP163" s="280"/>
      <c r="BQ163" s="280"/>
      <c r="BR163" s="280"/>
      <c r="BS163" s="280"/>
      <c r="BT163" s="280"/>
      <c r="BU163" s="280"/>
      <c r="BV163" s="280"/>
      <c r="BW163" s="280"/>
      <c r="BX163" s="280"/>
      <c r="BY163" s="280"/>
      <c r="BZ163" s="280"/>
      <c r="CA163" s="280"/>
      <c r="CB163" s="280"/>
      <c r="CC163" s="280"/>
      <c r="CD163" s="280"/>
      <c r="CE163" s="280"/>
      <c r="CF163" s="280"/>
      <c r="CG163" s="280"/>
      <c r="CH163" s="280"/>
      <c r="CI163" s="280"/>
      <c r="CJ163" s="280"/>
      <c r="CK163" s="280"/>
      <c r="CL163" s="280"/>
      <c r="CM163" s="280"/>
      <c r="CN163" s="280"/>
      <c r="CO163" s="280"/>
      <c r="CP163" s="280"/>
      <c r="CQ163" s="280"/>
      <c r="CR163" s="280"/>
      <c r="CS163" s="280"/>
      <c r="CT163" s="280"/>
      <c r="CU163" s="280"/>
      <c r="CV163" s="280"/>
      <c r="CW163" s="280"/>
      <c r="CX163" s="280"/>
      <c r="CY163" s="280"/>
      <c r="CZ163" s="280"/>
      <c r="DA163" s="280"/>
      <c r="DB163" s="280"/>
      <c r="DC163" s="280"/>
      <c r="DD163" s="280"/>
      <c r="DE163" s="280"/>
      <c r="DF163" s="280"/>
      <c r="DG163" s="280"/>
      <c r="DH163" s="280"/>
      <c r="DI163" s="280"/>
      <c r="DJ163" s="280"/>
      <c r="DK163" s="280"/>
      <c r="DL163" s="280"/>
      <c r="DM163" s="280"/>
      <c r="DN163" s="280"/>
      <c r="DO163" s="280"/>
      <c r="DP163" s="280"/>
      <c r="DQ163" s="280"/>
      <c r="DR163" s="280"/>
      <c r="DS163" s="281"/>
    </row>
    <row r="164" s="3" customFormat="1" spans="2:123">
      <c r="B164" s="184" t="s">
        <v>57</v>
      </c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  <c r="BM164" s="185"/>
      <c r="BN164" s="185"/>
      <c r="BO164" s="185"/>
      <c r="BP164" s="185"/>
      <c r="BQ164" s="185"/>
      <c r="BR164" s="185"/>
      <c r="BS164" s="185"/>
      <c r="BT164" s="185"/>
      <c r="BU164" s="185"/>
      <c r="BV164" s="185"/>
      <c r="BW164" s="185"/>
      <c r="BX164" s="185"/>
      <c r="BY164" s="185"/>
      <c r="BZ164" s="185"/>
      <c r="CA164" s="185"/>
      <c r="CB164" s="185"/>
      <c r="CC164" s="185"/>
      <c r="CD164" s="185"/>
      <c r="CE164" s="185"/>
      <c r="CF164" s="282"/>
      <c r="CG164" s="282"/>
      <c r="CH164" s="282"/>
      <c r="CI164" s="282"/>
      <c r="CJ164" s="185"/>
      <c r="CK164" s="282"/>
      <c r="CL164" s="282"/>
      <c r="CM164" s="282"/>
      <c r="CN164" s="282"/>
      <c r="CO164" s="185"/>
      <c r="CP164" s="282"/>
      <c r="CQ164" s="282"/>
      <c r="CR164" s="282"/>
      <c r="CS164" s="282"/>
      <c r="CT164" s="185"/>
      <c r="CU164" s="185"/>
      <c r="CV164" s="185"/>
      <c r="CW164" s="185"/>
      <c r="CX164" s="185"/>
      <c r="CY164" s="185"/>
      <c r="CZ164" s="185"/>
      <c r="DA164" s="185"/>
      <c r="DB164" s="185"/>
      <c r="DC164" s="185"/>
      <c r="DD164" s="185"/>
      <c r="DE164" s="185"/>
      <c r="DF164" s="283"/>
      <c r="DG164" s="185"/>
      <c r="DH164" s="185"/>
      <c r="DI164" s="185"/>
      <c r="DJ164" s="185"/>
      <c r="DK164" s="283"/>
      <c r="DL164" s="185"/>
      <c r="DM164" s="185"/>
      <c r="DN164" s="185"/>
      <c r="DO164" s="185"/>
      <c r="DP164" s="283"/>
      <c r="DQ164" s="185"/>
      <c r="DR164" s="185"/>
      <c r="DS164" s="186"/>
    </row>
    <row r="165" s="3" customFormat="1" spans="2:123">
      <c r="B165" s="130"/>
      <c r="C165" s="284"/>
      <c r="D165" s="189"/>
      <c r="E165" s="189"/>
      <c r="F165" s="189"/>
      <c r="G165" s="189"/>
      <c r="H165" s="188"/>
      <c r="I165" s="189"/>
      <c r="J165" s="189"/>
      <c r="K165" s="189"/>
      <c r="L165" s="189"/>
      <c r="M165" s="188"/>
      <c r="N165" s="189"/>
      <c r="O165" s="189"/>
      <c r="P165" s="189"/>
      <c r="Q165" s="189"/>
      <c r="R165" s="188"/>
      <c r="S165" s="189"/>
      <c r="T165" s="189"/>
      <c r="U165" s="189"/>
      <c r="V165" s="189"/>
      <c r="W165" s="188"/>
      <c r="X165" s="189"/>
      <c r="Y165" s="189"/>
      <c r="Z165" s="195"/>
      <c r="AA165" s="195"/>
      <c r="AB165" s="188"/>
      <c r="AC165" s="195"/>
      <c r="AD165" s="195"/>
      <c r="AE165" s="195"/>
      <c r="AF165" s="195"/>
      <c r="AG165" s="194"/>
      <c r="AH165" s="195"/>
      <c r="AI165" s="195"/>
      <c r="AJ165" s="195"/>
      <c r="AK165" s="195"/>
      <c r="AL165" s="194"/>
      <c r="AM165" s="195"/>
      <c r="AN165" s="195"/>
      <c r="AO165" s="195"/>
      <c r="AP165" s="195"/>
      <c r="AQ165" s="194"/>
      <c r="AR165" s="195"/>
      <c r="AS165" s="195"/>
      <c r="AT165" s="195"/>
      <c r="AU165" s="195"/>
      <c r="AV165" s="194"/>
      <c r="AW165" s="195"/>
      <c r="AX165" s="195"/>
      <c r="AY165" s="195"/>
      <c r="AZ165" s="195"/>
      <c r="BA165" s="194"/>
      <c r="BB165" s="195"/>
      <c r="BC165" s="195"/>
      <c r="BD165" s="195"/>
      <c r="BE165" s="195"/>
      <c r="BF165" s="194"/>
      <c r="BG165" s="195"/>
      <c r="BH165" s="195"/>
      <c r="BI165" s="195"/>
      <c r="BJ165" s="195"/>
      <c r="BK165" s="194"/>
      <c r="BL165" s="195"/>
      <c r="BM165" s="195"/>
      <c r="BN165" s="195"/>
      <c r="BO165" s="195"/>
      <c r="BP165" s="194"/>
      <c r="BQ165" s="195"/>
      <c r="BR165" s="195"/>
      <c r="BS165" s="195"/>
      <c r="BT165" s="120"/>
      <c r="BU165" s="119"/>
      <c r="BV165" s="120"/>
      <c r="BW165" s="120"/>
      <c r="BX165" s="120"/>
      <c r="BY165" s="189"/>
      <c r="BZ165" s="188"/>
      <c r="CA165" s="189"/>
      <c r="CB165" s="189"/>
      <c r="CC165" s="189"/>
      <c r="CD165" s="189"/>
      <c r="CE165" s="188"/>
      <c r="CF165" s="189"/>
      <c r="CG165" s="189"/>
      <c r="CH165" s="189"/>
      <c r="CI165" s="189"/>
      <c r="CJ165" s="188"/>
      <c r="CK165" s="189"/>
      <c r="CL165" s="189"/>
      <c r="CM165" s="189"/>
      <c r="CN165" s="189"/>
      <c r="CO165" s="188"/>
      <c r="CP165" s="189"/>
      <c r="CQ165" s="189"/>
      <c r="CR165" s="189"/>
      <c r="CS165" s="189"/>
      <c r="CT165" s="188"/>
      <c r="CU165" s="189"/>
      <c r="CV165" s="189"/>
      <c r="CW165" s="189"/>
      <c r="CX165" s="189"/>
      <c r="CY165" s="188"/>
      <c r="CZ165" s="189"/>
      <c r="DA165" s="189"/>
      <c r="DB165" s="285"/>
      <c r="DC165" s="286"/>
      <c r="DD165" s="188"/>
      <c r="DE165" s="286"/>
      <c r="DF165" s="189"/>
      <c r="DG165" s="189"/>
      <c r="DH165" s="189"/>
      <c r="DI165" s="188"/>
      <c r="DJ165" s="189"/>
      <c r="DK165" s="189"/>
      <c r="DL165" s="189"/>
      <c r="DM165" s="189"/>
      <c r="DN165" s="188"/>
      <c r="DO165" s="189"/>
      <c r="DP165" s="189"/>
      <c r="DQ165" s="189"/>
      <c r="DR165" s="189"/>
      <c r="DS165" s="188"/>
    </row>
    <row r="166" s="94" customFormat="1" hidden="1" outlineLevel="1" spans="2:123">
      <c r="B166" s="287" t="s">
        <v>366</v>
      </c>
      <c r="C166" s="127"/>
      <c r="D166" s="126"/>
      <c r="E166" s="126"/>
      <c r="F166" s="126"/>
      <c r="G166" s="126"/>
      <c r="H166" s="127"/>
      <c r="I166" s="126"/>
      <c r="J166" s="126"/>
      <c r="K166" s="126"/>
      <c r="L166" s="126"/>
      <c r="M166" s="127"/>
      <c r="N166" s="126"/>
      <c r="O166" s="126"/>
      <c r="P166" s="126"/>
      <c r="Q166" s="126"/>
      <c r="R166" s="127"/>
      <c r="S166" s="126">
        <v>22.903075742</v>
      </c>
      <c r="T166" s="126">
        <v>24.106550886</v>
      </c>
      <c r="U166" s="126">
        <v>26.98461185</v>
      </c>
      <c r="V166" s="126">
        <v>35.852745</v>
      </c>
      <c r="W166" s="127">
        <f>SUM(S166:V166)</f>
        <v>109.846983478</v>
      </c>
      <c r="X166" s="126">
        <v>35.1224</v>
      </c>
      <c r="Y166" s="126">
        <v>37.13398</v>
      </c>
      <c r="Z166" s="126">
        <v>44.02749</v>
      </c>
      <c r="AA166" s="126">
        <v>65.0972437291356</v>
      </c>
      <c r="AB166" s="127">
        <f>SUM(X166:AA166)</f>
        <v>181.381113729136</v>
      </c>
      <c r="AC166" s="126">
        <v>60.85068</v>
      </c>
      <c r="AD166" s="126">
        <v>66.97152</v>
      </c>
      <c r="AE166" s="126">
        <v>79.11</v>
      </c>
      <c r="AF166" s="126">
        <v>120.545603451677</v>
      </c>
      <c r="AG166" s="127">
        <f>SUM(AC166:AF166)</f>
        <v>327.477803451677</v>
      </c>
      <c r="AH166" s="126">
        <v>95.2578</v>
      </c>
      <c r="AI166" s="126">
        <v>108.28473</v>
      </c>
      <c r="AJ166" s="126">
        <v>122.01448</v>
      </c>
      <c r="AK166" s="126">
        <v>204.88766</v>
      </c>
      <c r="AL166" s="127">
        <f>SUM(AH166:AK166)</f>
        <v>530.44467</v>
      </c>
      <c r="AM166" s="126">
        <v>171.4188</v>
      </c>
      <c r="AN166" s="126">
        <v>169.5804</v>
      </c>
      <c r="AO166" s="126">
        <v>189.9222</v>
      </c>
      <c r="AP166" s="126">
        <v>308.9866</v>
      </c>
      <c r="AQ166" s="127">
        <f>SUM(AM166:AP166)</f>
        <v>839.908</v>
      </c>
      <c r="AR166" s="126">
        <v>228.21612</v>
      </c>
      <c r="AS166" s="126">
        <v>227.37858</v>
      </c>
      <c r="AT166" s="126">
        <v>250.734</v>
      </c>
      <c r="AU166" s="126">
        <v>343.85538</v>
      </c>
      <c r="AV166" s="127">
        <f>SUM(AR166:AU166)</f>
        <v>1050.18408</v>
      </c>
      <c r="AW166" s="126">
        <v>269.2326</v>
      </c>
      <c r="AX166" s="126">
        <v>261.8</v>
      </c>
      <c r="AY166" s="126">
        <v>285.18928</v>
      </c>
      <c r="AZ166" s="126">
        <v>441.2</v>
      </c>
      <c r="BA166" s="127">
        <f>SUM(AW166:AZ166)</f>
        <v>1257.42188</v>
      </c>
      <c r="BB166" s="126"/>
      <c r="BC166" s="126"/>
      <c r="BD166" s="126"/>
      <c r="BE166" s="126"/>
      <c r="BF166" s="127">
        <v>1508.841</v>
      </c>
      <c r="BG166" s="126"/>
      <c r="BH166" s="126"/>
      <c r="BI166" s="126"/>
      <c r="BJ166" s="126"/>
      <c r="BK166" s="127">
        <v>1726.076</v>
      </c>
      <c r="BL166" s="126">
        <v>379.467</v>
      </c>
      <c r="BM166" s="126">
        <v>413.634</v>
      </c>
      <c r="BN166" s="126">
        <v>433.509</v>
      </c>
      <c r="BO166" s="126">
        <f>BP166-SUM(BL166:BN166)</f>
        <v>685.153</v>
      </c>
      <c r="BP166" s="127">
        <v>1911.763</v>
      </c>
      <c r="BQ166" s="126">
        <v>462.27</v>
      </c>
      <c r="BR166" s="126">
        <v>512.413</v>
      </c>
      <c r="BS166" s="126">
        <v>527.331</v>
      </c>
      <c r="BT166" s="126">
        <f>BU166-SUM(BQ166:BS166)</f>
        <v>861.36</v>
      </c>
      <c r="BU166" s="127">
        <v>2363.374</v>
      </c>
      <c r="BV166" s="126">
        <v>553.647</v>
      </c>
      <c r="BW166" s="126">
        <v>621.843</v>
      </c>
      <c r="BX166" s="126">
        <v>645.6</v>
      </c>
      <c r="BY166" s="126">
        <f>BZ166-SUM(BV166:BX166)</f>
        <v>1033.274</v>
      </c>
      <c r="BZ166" s="127">
        <v>2854.364</v>
      </c>
      <c r="CA166" s="126">
        <v>459.352</v>
      </c>
      <c r="CB166" s="126">
        <v>595.918</v>
      </c>
      <c r="CC166" s="126">
        <v>775.576</v>
      </c>
      <c r="CD166" s="126">
        <f>CE166-SUM(CA166:CC166)</f>
        <v>1274.287</v>
      </c>
      <c r="CE166" s="127">
        <v>3105.133</v>
      </c>
      <c r="CF166" s="126">
        <v>849.614</v>
      </c>
      <c r="CG166" s="126">
        <v>996.292</v>
      </c>
      <c r="CH166" s="126">
        <v>982.238</v>
      </c>
      <c r="CI166" s="126">
        <f>CJ166-SUM(CF166:CH166)</f>
        <v>1517.543</v>
      </c>
      <c r="CJ166" s="127">
        <v>4345.687</v>
      </c>
      <c r="CK166" s="126">
        <v>1098.329</v>
      </c>
      <c r="CL166" s="126">
        <v>1278.361</v>
      </c>
      <c r="CM166" s="128">
        <v>1268.512</v>
      </c>
      <c r="CN166" s="126">
        <f>CO166-CM166-CL166-CK166</f>
        <v>2009.141</v>
      </c>
      <c r="CO166" s="127">
        <v>5654.343</v>
      </c>
      <c r="CP166" s="128">
        <v>1314.391</v>
      </c>
      <c r="CQ166" s="126">
        <v>1424.926</v>
      </c>
      <c r="CR166" s="126">
        <v>1423.574</v>
      </c>
      <c r="CS166" s="126">
        <f>CT166-SUM(CP166:CR166)</f>
        <v>2183.501</v>
      </c>
      <c r="CT166" s="127">
        <v>6346.392</v>
      </c>
      <c r="CU166" s="126">
        <v>1340.4</v>
      </c>
      <c r="CV166" s="126">
        <v>1421.98</v>
      </c>
      <c r="CW166" s="126">
        <v>1424.234</v>
      </c>
      <c r="CX166" s="126">
        <f>CY166-CU166-CV166-CW166</f>
        <v>2296.569</v>
      </c>
      <c r="CY166" s="127">
        <v>6483.183</v>
      </c>
      <c r="CZ166" s="126">
        <v>1362.524</v>
      </c>
      <c r="DA166" s="126">
        <v>1415.002</v>
      </c>
      <c r="DB166" s="126">
        <v>1380.973</v>
      </c>
      <c r="DC166" s="126">
        <f>DD166-CZ166-DA166-DB166</f>
        <v>2169.881</v>
      </c>
      <c r="DD166" s="127">
        <v>6328.38</v>
      </c>
      <c r="DE166" s="128">
        <v>1313.206</v>
      </c>
      <c r="DF166" s="126">
        <v>1302.069</v>
      </c>
      <c r="DG166" s="126">
        <f t="shared" ref="DG166:DH166" si="977">DB166*(1+DG167)</f>
        <v>1160.01732</v>
      </c>
      <c r="DH166" s="126">
        <f t="shared" si="977"/>
        <v>1844.39885</v>
      </c>
      <c r="DI166" s="127">
        <f>DE166+DF166+DG166+DH166</f>
        <v>5619.69117</v>
      </c>
      <c r="DJ166" s="126">
        <f t="shared" ref="DJ166:DM166" si="978">DE166*(1+DJ167)</f>
        <v>1195.01746</v>
      </c>
      <c r="DK166" s="126">
        <f t="shared" si="978"/>
        <v>1197.90348</v>
      </c>
      <c r="DL166" s="126">
        <f t="shared" si="978"/>
        <v>1102.016454</v>
      </c>
      <c r="DM166" s="126">
        <f t="shared" si="978"/>
        <v>1752.1789075</v>
      </c>
      <c r="DN166" s="127">
        <f>DJ166+DK166+DL166+DM166</f>
        <v>5247.1163015</v>
      </c>
      <c r="DO166" s="126">
        <f t="shared" ref="DO166" si="979">DJ166*(1+DO167)</f>
        <v>1153.1918489</v>
      </c>
      <c r="DP166" s="126">
        <f t="shared" ref="DP166" si="980">DK166*(1+DP167)</f>
        <v>1155.9768582</v>
      </c>
      <c r="DQ166" s="126">
        <f t="shared" ref="DQ166" si="981">DL166*(1+DQ167)</f>
        <v>1063.44587811</v>
      </c>
      <c r="DR166" s="126">
        <f t="shared" ref="DR166" si="982">DM166*(1+DR167)</f>
        <v>1690.8526457375</v>
      </c>
      <c r="DS166" s="127">
        <f>DO166+DP166+DQ166+DR166</f>
        <v>5063.4672309475</v>
      </c>
    </row>
    <row r="167" s="92" customFormat="1" hidden="1" outlineLevel="1" spans="2:123">
      <c r="B167" s="288" t="s">
        <v>69</v>
      </c>
      <c r="C167" s="289"/>
      <c r="D167" s="290"/>
      <c r="E167" s="290"/>
      <c r="F167" s="290"/>
      <c r="G167" s="290"/>
      <c r="H167" s="140"/>
      <c r="I167" s="141"/>
      <c r="J167" s="141"/>
      <c r="K167" s="141"/>
      <c r="L167" s="141"/>
      <c r="M167" s="140"/>
      <c r="N167" s="141"/>
      <c r="O167" s="141"/>
      <c r="P167" s="141"/>
      <c r="Q167" s="141"/>
      <c r="R167" s="140"/>
      <c r="S167" s="141"/>
      <c r="T167" s="141"/>
      <c r="U167" s="141"/>
      <c r="V167" s="141"/>
      <c r="W167" s="140"/>
      <c r="X167" s="141">
        <f t="shared" ref="X167:BA167" si="983">X166/S166-1</f>
        <v>0.53352328724967</v>
      </c>
      <c r="Y167" s="141">
        <f t="shared" si="983"/>
        <v>0.540410329773296</v>
      </c>
      <c r="Z167" s="141">
        <f t="shared" si="983"/>
        <v>0.631577665253688</v>
      </c>
      <c r="AA167" s="141">
        <f t="shared" si="983"/>
        <v>0.815683673011246</v>
      </c>
      <c r="AB167" s="140">
        <f t="shared" si="983"/>
        <v>0.651216155293534</v>
      </c>
      <c r="AC167" s="141">
        <f t="shared" si="983"/>
        <v>0.732531945425142</v>
      </c>
      <c r="AD167" s="141">
        <f t="shared" si="983"/>
        <v>0.803510423606626</v>
      </c>
      <c r="AE167" s="141">
        <f t="shared" si="983"/>
        <v>0.796831933866773</v>
      </c>
      <c r="AF167" s="141">
        <f t="shared" si="983"/>
        <v>0.851777380210707</v>
      </c>
      <c r="AG167" s="140">
        <f t="shared" si="983"/>
        <v>0.805468037541734</v>
      </c>
      <c r="AH167" s="141">
        <f t="shared" si="983"/>
        <v>0.565435258899325</v>
      </c>
      <c r="AI167" s="141">
        <f t="shared" si="983"/>
        <v>0.616877293512228</v>
      </c>
      <c r="AJ167" s="141">
        <f t="shared" si="983"/>
        <v>0.542339527240551</v>
      </c>
      <c r="AK167" s="141">
        <f t="shared" si="983"/>
        <v>0.699669288080955</v>
      </c>
      <c r="AL167" s="140">
        <f t="shared" si="983"/>
        <v>0.619788163988567</v>
      </c>
      <c r="AM167" s="141">
        <f t="shared" si="983"/>
        <v>0.799525078261307</v>
      </c>
      <c r="AN167" s="141">
        <f t="shared" si="983"/>
        <v>0.566060145322429</v>
      </c>
      <c r="AO167" s="141">
        <f t="shared" si="983"/>
        <v>0.556554599093484</v>
      </c>
      <c r="AP167" s="141">
        <f t="shared" si="983"/>
        <v>0.508078134134579</v>
      </c>
      <c r="AQ167" s="140">
        <f t="shared" si="983"/>
        <v>0.583403599851422</v>
      </c>
      <c r="AR167" s="141">
        <f t="shared" si="983"/>
        <v>0.331336586185413</v>
      </c>
      <c r="AS167" s="141">
        <f t="shared" si="983"/>
        <v>0.340830544095898</v>
      </c>
      <c r="AT167" s="141">
        <f t="shared" si="983"/>
        <v>0.320193215958956</v>
      </c>
      <c r="AU167" s="141">
        <f t="shared" si="983"/>
        <v>0.112848841988617</v>
      </c>
      <c r="AV167" s="140">
        <f t="shared" si="983"/>
        <v>0.250356086619011</v>
      </c>
      <c r="AW167" s="141">
        <f t="shared" si="983"/>
        <v>0.179726480320496</v>
      </c>
      <c r="AX167" s="141">
        <f t="shared" si="983"/>
        <v>0.151383740719992</v>
      </c>
      <c r="AY167" s="141">
        <f t="shared" si="983"/>
        <v>0.137417661745117</v>
      </c>
      <c r="AZ167" s="141">
        <f t="shared" si="983"/>
        <v>0.283097562702087</v>
      </c>
      <c r="BA167" s="140">
        <f t="shared" si="983"/>
        <v>0.197334737734741</v>
      </c>
      <c r="BB167" s="141"/>
      <c r="BC167" s="141"/>
      <c r="BD167" s="141"/>
      <c r="BE167" s="141"/>
      <c r="BF167" s="140">
        <f>BF166/BA166-1</f>
        <v>0.199948103336646</v>
      </c>
      <c r="BG167" s="141"/>
      <c r="BH167" s="141"/>
      <c r="BI167" s="141"/>
      <c r="BJ167" s="141"/>
      <c r="BK167" s="140">
        <f>BK166/BF166-1</f>
        <v>0.143974746179352</v>
      </c>
      <c r="BL167" s="141"/>
      <c r="BM167" s="141"/>
      <c r="BN167" s="141"/>
      <c r="BO167" s="141"/>
      <c r="BP167" s="140">
        <f t="shared" ref="BP167:DI167" si="984">BP166/BK166-1</f>
        <v>0.107577534245306</v>
      </c>
      <c r="BQ167" s="291">
        <f t="shared" si="984"/>
        <v>0.218208697989549</v>
      </c>
      <c r="BR167" s="291">
        <f t="shared" si="984"/>
        <v>0.238807738242021</v>
      </c>
      <c r="BS167" s="291">
        <f t="shared" si="984"/>
        <v>0.216424572500225</v>
      </c>
      <c r="BT167" s="291">
        <f t="shared" si="984"/>
        <v>0.257179053437699</v>
      </c>
      <c r="BU167" s="140">
        <f t="shared" si="984"/>
        <v>0.23622750309531</v>
      </c>
      <c r="BV167" s="291">
        <f t="shared" si="984"/>
        <v>0.1976701927445</v>
      </c>
      <c r="BW167" s="291">
        <f t="shared" si="984"/>
        <v>0.21355820402683</v>
      </c>
      <c r="BX167" s="291">
        <f t="shared" si="984"/>
        <v>0.224278489222139</v>
      </c>
      <c r="BY167" s="291">
        <f t="shared" si="984"/>
        <v>0.199584378192626</v>
      </c>
      <c r="BZ167" s="140">
        <f t="shared" si="984"/>
        <v>0.207749598666991</v>
      </c>
      <c r="CA167" s="141">
        <f t="shared" si="984"/>
        <v>-0.170316103943488</v>
      </c>
      <c r="CB167" s="141">
        <f t="shared" si="984"/>
        <v>-0.0416905874955575</v>
      </c>
      <c r="CC167" s="141">
        <f t="shared" si="984"/>
        <v>0.201325898389095</v>
      </c>
      <c r="CD167" s="141">
        <f t="shared" si="984"/>
        <v>0.233251780263512</v>
      </c>
      <c r="CE167" s="140">
        <f t="shared" si="984"/>
        <v>0.0878545973814131</v>
      </c>
      <c r="CF167" s="141">
        <f t="shared" si="984"/>
        <v>0.849592469391665</v>
      </c>
      <c r="CG167" s="141">
        <f t="shared" si="984"/>
        <v>0.67186089361288</v>
      </c>
      <c r="CH167" s="141">
        <f t="shared" si="984"/>
        <v>0.26646260327808</v>
      </c>
      <c r="CI167" s="141">
        <f t="shared" si="984"/>
        <v>0.190895771517719</v>
      </c>
      <c r="CJ167" s="140">
        <f t="shared" si="984"/>
        <v>0.399517186542412</v>
      </c>
      <c r="CK167" s="141">
        <f t="shared" si="984"/>
        <v>0.292738820217181</v>
      </c>
      <c r="CL167" s="141">
        <f t="shared" si="984"/>
        <v>0.283118804527187</v>
      </c>
      <c r="CM167" s="141">
        <f t="shared" si="984"/>
        <v>0.291450748189339</v>
      </c>
      <c r="CN167" s="141">
        <f t="shared" si="984"/>
        <v>0.323943374256941</v>
      </c>
      <c r="CO167" s="140">
        <f t="shared" si="984"/>
        <v>0.301139037395008</v>
      </c>
      <c r="CP167" s="141">
        <f t="shared" si="984"/>
        <v>0.196718833792061</v>
      </c>
      <c r="CQ167" s="141">
        <f t="shared" si="984"/>
        <v>0.11465071290504</v>
      </c>
      <c r="CR167" s="141">
        <f t="shared" si="984"/>
        <v>0.122239285083626</v>
      </c>
      <c r="CS167" s="141">
        <f t="shared" si="984"/>
        <v>0.0867833566683474</v>
      </c>
      <c r="CT167" s="140">
        <f t="shared" si="984"/>
        <v>0.122392468939362</v>
      </c>
      <c r="CU167" s="141">
        <f t="shared" si="984"/>
        <v>0.0197878713411763</v>
      </c>
      <c r="CV167" s="141">
        <f t="shared" si="984"/>
        <v>-0.00206747578470734</v>
      </c>
      <c r="CW167" s="141">
        <f t="shared" si="984"/>
        <v>0.000463621841927386</v>
      </c>
      <c r="CX167" s="141">
        <f t="shared" si="984"/>
        <v>0.0517828936190088</v>
      </c>
      <c r="CY167" s="140">
        <f t="shared" si="984"/>
        <v>0.0215541365865835</v>
      </c>
      <c r="CZ167" s="141">
        <f t="shared" si="984"/>
        <v>0.0165055207400775</v>
      </c>
      <c r="DA167" s="141">
        <f t="shared" si="984"/>
        <v>-0.00490724201465564</v>
      </c>
      <c r="DB167" s="141">
        <f t="shared" si="984"/>
        <v>-0.0303749243452972</v>
      </c>
      <c r="DC167" s="141">
        <f t="shared" si="984"/>
        <v>-0.0551640294717902</v>
      </c>
      <c r="DD167" s="140">
        <f t="shared" si="984"/>
        <v>-0.0238776230749618</v>
      </c>
      <c r="DE167" s="142">
        <f t="shared" si="984"/>
        <v>-0.036196059665738</v>
      </c>
      <c r="DF167" s="142">
        <f t="shared" si="984"/>
        <v>-0.0798111946131524</v>
      </c>
      <c r="DG167" s="213">
        <v>-0.16</v>
      </c>
      <c r="DH167" s="213">
        <v>-0.15</v>
      </c>
      <c r="DI167" s="140">
        <f t="shared" si="984"/>
        <v>-0.111985821015805</v>
      </c>
      <c r="DJ167" s="213">
        <v>-0.09</v>
      </c>
      <c r="DK167" s="213">
        <v>-0.08</v>
      </c>
      <c r="DL167" s="213">
        <v>-0.05</v>
      </c>
      <c r="DM167" s="213">
        <v>-0.05</v>
      </c>
      <c r="DN167" s="140">
        <f t="shared" ref="DN167" si="985">DN166/DI166-1</f>
        <v>-0.0662981037977572</v>
      </c>
      <c r="DO167" s="213">
        <v>-0.035</v>
      </c>
      <c r="DP167" s="213">
        <v>-0.035</v>
      </c>
      <c r="DQ167" s="213">
        <v>-0.035</v>
      </c>
      <c r="DR167" s="213">
        <v>-0.035</v>
      </c>
      <c r="DS167" s="140">
        <f t="shared" ref="DS167" si="986">DS166/DN166-1</f>
        <v>-0.035</v>
      </c>
    </row>
    <row r="168" s="94" customFormat="1" hidden="1" outlineLevel="1" spans="2:123">
      <c r="B168" s="287" t="s">
        <v>367</v>
      </c>
      <c r="C168" s="127"/>
      <c r="D168" s="126"/>
      <c r="E168" s="126"/>
      <c r="F168" s="126"/>
      <c r="G168" s="126"/>
      <c r="H168" s="127"/>
      <c r="I168" s="126"/>
      <c r="J168" s="126"/>
      <c r="K168" s="126"/>
      <c r="L168" s="126"/>
      <c r="M168" s="127"/>
      <c r="N168" s="126"/>
      <c r="O168" s="126"/>
      <c r="P168" s="126"/>
      <c r="Q168" s="126"/>
      <c r="R168" s="127"/>
      <c r="S168" s="126">
        <v>54.013738354</v>
      </c>
      <c r="T168" s="126">
        <v>61.377672114</v>
      </c>
      <c r="U168" s="126">
        <v>60.06252315</v>
      </c>
      <c r="V168" s="126">
        <v>68.068255</v>
      </c>
      <c r="W168" s="127">
        <f>SUM(S168:V168)</f>
        <v>243.522188618</v>
      </c>
      <c r="X168" s="126">
        <v>46.5576</v>
      </c>
      <c r="Y168" s="126">
        <v>60.58702</v>
      </c>
      <c r="Z168" s="126">
        <v>68.86351</v>
      </c>
      <c r="AA168" s="126">
        <v>95.5087562708644</v>
      </c>
      <c r="AB168" s="127">
        <f>SUM(X168:AA168)</f>
        <v>271.516886270864</v>
      </c>
      <c r="AC168" s="126">
        <v>77.44632</v>
      </c>
      <c r="AD168" s="126">
        <v>80.67024</v>
      </c>
      <c r="AE168" s="126">
        <v>91.416</v>
      </c>
      <c r="AF168" s="126">
        <v>120.446379003945</v>
      </c>
      <c r="AG168" s="127">
        <f>SUM(AC168:AF168)</f>
        <v>369.978939003945</v>
      </c>
      <c r="AH168" s="126">
        <v>84.051</v>
      </c>
      <c r="AI168" s="126">
        <v>95.54535</v>
      </c>
      <c r="AJ168" s="126">
        <v>98.99288</v>
      </c>
      <c r="AK168" s="126">
        <v>151.77154</v>
      </c>
      <c r="AL168" s="127">
        <f>SUM(AH168:AK168)</f>
        <v>430.36077</v>
      </c>
      <c r="AM168" s="126">
        <v>99.9943</v>
      </c>
      <c r="AN168" s="126">
        <v>98.9219</v>
      </c>
      <c r="AO168" s="126">
        <v>110.78795</v>
      </c>
      <c r="AP168" s="126">
        <v>151.88185</v>
      </c>
      <c r="AQ168" s="127">
        <f>SUM(AM168:AP168)</f>
        <v>461.586</v>
      </c>
      <c r="AR168" s="126">
        <v>99.239434</v>
      </c>
      <c r="AS168" s="126">
        <v>98.875231</v>
      </c>
      <c r="AT168" s="126">
        <v>109.0313</v>
      </c>
      <c r="AU168" s="126">
        <v>149.524991</v>
      </c>
      <c r="AV168" s="127">
        <f>SUM(AR168:AU168)</f>
        <v>456.670956</v>
      </c>
      <c r="AW168" s="126">
        <v>92.30832</v>
      </c>
      <c r="AX168" s="126">
        <v>101.6</v>
      </c>
      <c r="AY168" s="126">
        <v>109.04296</v>
      </c>
      <c r="AZ168" s="126">
        <v>131.4</v>
      </c>
      <c r="BA168" s="127">
        <f>SUM(AW168:AZ168)</f>
        <v>434.35128</v>
      </c>
      <c r="BB168" s="126"/>
      <c r="BC168" s="126"/>
      <c r="BD168" s="126"/>
      <c r="BE168" s="126"/>
      <c r="BF168" s="127">
        <v>416.52</v>
      </c>
      <c r="BG168" s="126"/>
      <c r="BH168" s="126"/>
      <c r="BI168" s="126"/>
      <c r="BJ168" s="126"/>
      <c r="BK168" s="127">
        <v>447.167</v>
      </c>
      <c r="BL168" s="126">
        <v>91.646</v>
      </c>
      <c r="BM168" s="126">
        <v>108.446</v>
      </c>
      <c r="BN168" s="126">
        <v>125.564</v>
      </c>
      <c r="BO168" s="126">
        <f>BP168-SUM(BL168:BN168)</f>
        <v>166.123</v>
      </c>
      <c r="BP168" s="127">
        <v>491.779</v>
      </c>
      <c r="BQ168" s="126">
        <v>112.149</v>
      </c>
      <c r="BR168" s="126">
        <v>124.278</v>
      </c>
      <c r="BS168" s="126">
        <v>137.991</v>
      </c>
      <c r="BT168" s="126">
        <f>BU168-SUM(BQ168:BS168)</f>
        <v>190.687</v>
      </c>
      <c r="BU168" s="127">
        <v>565.105</v>
      </c>
      <c r="BV168" s="126">
        <v>123.645</v>
      </c>
      <c r="BW168" s="126">
        <v>145.605</v>
      </c>
      <c r="BX168" s="126">
        <v>159.552</v>
      </c>
      <c r="BY168" s="126">
        <f>BZ168-SUM(BV168:BX168)</f>
        <v>220.312</v>
      </c>
      <c r="BZ168" s="127">
        <v>649.114</v>
      </c>
      <c r="CA168" s="126">
        <v>99.497</v>
      </c>
      <c r="CB168" s="126">
        <v>147.658</v>
      </c>
      <c r="CC168" s="126">
        <v>181.376</v>
      </c>
      <c r="CD168" s="126">
        <f>CE168-SUM(CA168:CC168)</f>
        <v>244.076</v>
      </c>
      <c r="CE168" s="127">
        <v>672.607</v>
      </c>
      <c r="CF168" s="126">
        <v>167.729</v>
      </c>
      <c r="CG168" s="126">
        <v>216.502</v>
      </c>
      <c r="CH168" s="126">
        <v>244.061</v>
      </c>
      <c r="CI168" s="126">
        <f>CJ168-SUM(CF168:CH168)</f>
        <v>325.927</v>
      </c>
      <c r="CJ168" s="127">
        <v>954.219</v>
      </c>
      <c r="CK168" s="126">
        <v>244.944</v>
      </c>
      <c r="CL168" s="126">
        <v>268.622</v>
      </c>
      <c r="CM168" s="128">
        <v>271.823</v>
      </c>
      <c r="CN168" s="126">
        <f>CO168-CM168-CL168-CK168</f>
        <v>377.722</v>
      </c>
      <c r="CO168" s="127">
        <v>1163.111</v>
      </c>
      <c r="CP168" s="128">
        <v>253.347</v>
      </c>
      <c r="CQ168" s="126">
        <v>294.847</v>
      </c>
      <c r="CR168" s="126">
        <v>308.824</v>
      </c>
      <c r="CS168" s="126">
        <f>CT168-SUM(CP168:CR168)</f>
        <v>428.237</v>
      </c>
      <c r="CT168" s="127">
        <v>1285.255</v>
      </c>
      <c r="CU168" s="126">
        <v>281.864</v>
      </c>
      <c r="CV168" s="126">
        <v>319.453</v>
      </c>
      <c r="CW168" s="126">
        <v>335.484</v>
      </c>
      <c r="CX168" s="126">
        <f>CY168-CU168-CV168-CW168</f>
        <v>474.872</v>
      </c>
      <c r="CY168" s="127">
        <v>1411.673</v>
      </c>
      <c r="CZ168" s="126">
        <v>292.82</v>
      </c>
      <c r="DA168" s="126">
        <v>321.293</v>
      </c>
      <c r="DB168" s="126">
        <v>331.596</v>
      </c>
      <c r="DC168" s="126">
        <f>DD168-CZ168-DA168-DB168</f>
        <v>477.469</v>
      </c>
      <c r="DD168" s="127">
        <v>1423.178</v>
      </c>
      <c r="DE168" s="128">
        <v>283.341</v>
      </c>
      <c r="DF168" s="126">
        <v>285.815</v>
      </c>
      <c r="DG168" s="126">
        <f t="shared" ref="DG168" si="987">DB168*(1+DG169)</f>
        <v>271.90872</v>
      </c>
      <c r="DH168" s="126">
        <f t="shared" ref="DH168" si="988">DC168*(1+DH169)</f>
        <v>405.84865</v>
      </c>
      <c r="DI168" s="127">
        <f>DE168+DF168+DG168+DH168</f>
        <v>1246.91337</v>
      </c>
      <c r="DJ168" s="126">
        <f t="shared" ref="DJ168" si="989">DE168*(1+DJ169)</f>
        <v>249.34008</v>
      </c>
      <c r="DK168" s="126">
        <f t="shared" ref="DK168" si="990">DF168*(1+DK169)</f>
        <v>260.09165</v>
      </c>
      <c r="DL168" s="126">
        <f t="shared" ref="DL168" si="991">DG168*(1+DL169)</f>
        <v>259.6728276</v>
      </c>
      <c r="DM168" s="126">
        <f t="shared" ref="DM168" si="992">DH168*(1+DM169)</f>
        <v>387.58546075</v>
      </c>
      <c r="DN168" s="127">
        <f>DJ168+DK168+DL168+DM168</f>
        <v>1156.69001835</v>
      </c>
      <c r="DO168" s="126">
        <f t="shared" ref="DO168" si="993">DJ168*(1+DO169)</f>
        <v>241.8598776</v>
      </c>
      <c r="DP168" s="126">
        <f t="shared" ref="DP168" si="994">DK168*(1+DP169)</f>
        <v>252.2889005</v>
      </c>
      <c r="DQ168" s="126">
        <f t="shared" ref="DQ168" si="995">DL168*(1+DQ169)</f>
        <v>251.882642772</v>
      </c>
      <c r="DR168" s="126">
        <f t="shared" ref="DR168" si="996">DM168*(1+DR169)</f>
        <v>375.9578969275</v>
      </c>
      <c r="DS168" s="127">
        <f>DO168+DP168+DQ168+DR168</f>
        <v>1121.9893177995</v>
      </c>
    </row>
    <row r="169" s="92" customFormat="1" hidden="1" outlineLevel="1" spans="2:123">
      <c r="B169" s="288" t="s">
        <v>69</v>
      </c>
      <c r="C169" s="216"/>
      <c r="D169" s="217"/>
      <c r="E169" s="217"/>
      <c r="F169" s="217"/>
      <c r="G169" s="217"/>
      <c r="H169" s="140"/>
      <c r="I169" s="141"/>
      <c r="J169" s="141"/>
      <c r="K169" s="141"/>
      <c r="L169" s="141"/>
      <c r="M169" s="140"/>
      <c r="N169" s="141"/>
      <c r="O169" s="141"/>
      <c r="P169" s="141"/>
      <c r="Q169" s="141"/>
      <c r="R169" s="140"/>
      <c r="S169" s="141"/>
      <c r="T169" s="141"/>
      <c r="U169" s="141"/>
      <c r="V169" s="141"/>
      <c r="W169" s="140"/>
      <c r="X169" s="141">
        <f t="shared" ref="X169:BA169" si="997">X168/S168-1</f>
        <v>-0.13804151649592</v>
      </c>
      <c r="Y169" s="141">
        <f t="shared" si="997"/>
        <v>-0.0128817546636744</v>
      </c>
      <c r="Z169" s="141">
        <f t="shared" si="997"/>
        <v>0.146530421774331</v>
      </c>
      <c r="AA169" s="141">
        <f t="shared" si="997"/>
        <v>0.403132139510032</v>
      </c>
      <c r="AB169" s="140">
        <f t="shared" si="997"/>
        <v>0.114957482156906</v>
      </c>
      <c r="AC169" s="141">
        <f t="shared" si="997"/>
        <v>0.663451724315686</v>
      </c>
      <c r="AD169" s="141">
        <f t="shared" si="997"/>
        <v>0.331477270213983</v>
      </c>
      <c r="AE169" s="141">
        <f t="shared" si="997"/>
        <v>0.327495505239277</v>
      </c>
      <c r="AF169" s="141">
        <f t="shared" si="997"/>
        <v>0.261102999418785</v>
      </c>
      <c r="AG169" s="140">
        <f t="shared" si="997"/>
        <v>0.362636939769761</v>
      </c>
      <c r="AH169" s="141">
        <f t="shared" si="997"/>
        <v>0.0852807467159189</v>
      </c>
      <c r="AI169" s="141">
        <f t="shared" si="997"/>
        <v>0.18439402188465</v>
      </c>
      <c r="AJ169" s="141">
        <f t="shared" si="997"/>
        <v>0.0828835214842039</v>
      </c>
      <c r="AK169" s="141">
        <f t="shared" si="997"/>
        <v>0.260075572674786</v>
      </c>
      <c r="AL169" s="140">
        <f t="shared" si="997"/>
        <v>0.163203427629191</v>
      </c>
      <c r="AM169" s="141">
        <f t="shared" si="997"/>
        <v>0.189686023961642</v>
      </c>
      <c r="AN169" s="141">
        <f t="shared" si="997"/>
        <v>0.0353397627409391</v>
      </c>
      <c r="AO169" s="141">
        <f t="shared" si="997"/>
        <v>0.119150690433494</v>
      </c>
      <c r="AP169" s="141">
        <f t="shared" si="997"/>
        <v>0.000726816107947892</v>
      </c>
      <c r="AQ169" s="140">
        <f t="shared" si="997"/>
        <v>0.0725559395202309</v>
      </c>
      <c r="AR169" s="141">
        <f t="shared" si="997"/>
        <v>-0.00754909029814688</v>
      </c>
      <c r="AS169" s="141">
        <f t="shared" si="997"/>
        <v>-0.000471776219421627</v>
      </c>
      <c r="AT169" s="141">
        <f t="shared" si="997"/>
        <v>-0.015855966285142</v>
      </c>
      <c r="AU169" s="141">
        <f t="shared" si="997"/>
        <v>-0.0155177132751548</v>
      </c>
      <c r="AV169" s="140">
        <f t="shared" si="997"/>
        <v>-0.0106481652389806</v>
      </c>
      <c r="AW169" s="141">
        <f t="shared" si="997"/>
        <v>-0.0698423370693548</v>
      </c>
      <c r="AX169" s="141">
        <f t="shared" si="997"/>
        <v>0.0275576499032402</v>
      </c>
      <c r="AY169" s="141">
        <f t="shared" si="997"/>
        <v>0.00010694176809789</v>
      </c>
      <c r="AZ169" s="141">
        <f t="shared" si="997"/>
        <v>-0.121217134866773</v>
      </c>
      <c r="BA169" s="140">
        <f t="shared" si="997"/>
        <v>-0.0488747438538657</v>
      </c>
      <c r="BB169" s="141"/>
      <c r="BC169" s="141"/>
      <c r="BD169" s="141"/>
      <c r="BE169" s="141"/>
      <c r="BF169" s="140">
        <f>BF168/BA168-1</f>
        <v>-0.0410526705481333</v>
      </c>
      <c r="BG169" s="292"/>
      <c r="BH169" s="292"/>
      <c r="BI169" s="292"/>
      <c r="BJ169" s="292"/>
      <c r="BK169" s="140">
        <f>BK168/BF168-1</f>
        <v>0.0735786997022951</v>
      </c>
      <c r="BL169" s="292"/>
      <c r="BM169" s="292"/>
      <c r="BN169" s="292"/>
      <c r="BO169" s="293"/>
      <c r="BP169" s="140">
        <f t="shared" ref="BP169:DI169" si="998">BP168/BK168-1</f>
        <v>0.0997658592874699</v>
      </c>
      <c r="BQ169" s="291">
        <f t="shared" si="998"/>
        <v>0.223719529493922</v>
      </c>
      <c r="BR169" s="291">
        <f t="shared" si="998"/>
        <v>0.145989709164008</v>
      </c>
      <c r="BS169" s="291">
        <f t="shared" si="998"/>
        <v>0.0989694498423117</v>
      </c>
      <c r="BT169" s="291">
        <f t="shared" si="998"/>
        <v>0.147866340001083</v>
      </c>
      <c r="BU169" s="140">
        <f t="shared" si="998"/>
        <v>0.149103560745782</v>
      </c>
      <c r="BV169" s="291">
        <f t="shared" si="998"/>
        <v>0.102506486905813</v>
      </c>
      <c r="BW169" s="291">
        <f t="shared" si="998"/>
        <v>0.171607203205716</v>
      </c>
      <c r="BX169" s="291">
        <f t="shared" si="998"/>
        <v>0.156249320607865</v>
      </c>
      <c r="BY169" s="291">
        <f t="shared" si="998"/>
        <v>0.155359306087987</v>
      </c>
      <c r="BZ169" s="140">
        <f t="shared" si="998"/>
        <v>0.148660868334203</v>
      </c>
      <c r="CA169" s="141">
        <f t="shared" si="998"/>
        <v>-0.195301063528651</v>
      </c>
      <c r="CB169" s="141">
        <f t="shared" si="998"/>
        <v>0.0140997905291713</v>
      </c>
      <c r="CC169" s="141">
        <f t="shared" si="998"/>
        <v>0.13678299237866</v>
      </c>
      <c r="CD169" s="141">
        <f t="shared" si="998"/>
        <v>0.107865209339482</v>
      </c>
      <c r="CE169" s="140">
        <f t="shared" si="998"/>
        <v>0.0361924099618864</v>
      </c>
      <c r="CF169" s="141">
        <f t="shared" si="998"/>
        <v>0.685769420183523</v>
      </c>
      <c r="CG169" s="141">
        <f t="shared" si="998"/>
        <v>0.466239553562963</v>
      </c>
      <c r="CH169" s="141">
        <f t="shared" si="998"/>
        <v>0.345608018701482</v>
      </c>
      <c r="CI169" s="141">
        <f t="shared" si="998"/>
        <v>0.335350464609384</v>
      </c>
      <c r="CJ169" s="140">
        <f t="shared" si="998"/>
        <v>0.418687286929812</v>
      </c>
      <c r="CK169" s="141">
        <f t="shared" si="998"/>
        <v>0.460355692814003</v>
      </c>
      <c r="CL169" s="141">
        <f t="shared" si="998"/>
        <v>0.240736806126502</v>
      </c>
      <c r="CM169" s="141">
        <f t="shared" si="998"/>
        <v>0.11375025096185</v>
      </c>
      <c r="CN169" s="141">
        <f t="shared" si="998"/>
        <v>0.158915953572426</v>
      </c>
      <c r="CO169" s="140">
        <f t="shared" si="998"/>
        <v>0.218914106719736</v>
      </c>
      <c r="CP169" s="141">
        <f t="shared" si="998"/>
        <v>0.0343058005095043</v>
      </c>
      <c r="CQ169" s="141">
        <f t="shared" si="998"/>
        <v>0.0976278934711228</v>
      </c>
      <c r="CR169" s="141">
        <f t="shared" si="998"/>
        <v>0.136121667408571</v>
      </c>
      <c r="CS169" s="141">
        <f t="shared" si="998"/>
        <v>0.133735922186158</v>
      </c>
      <c r="CT169" s="140">
        <f t="shared" si="998"/>
        <v>0.105014912592177</v>
      </c>
      <c r="CU169" s="141">
        <f t="shared" si="998"/>
        <v>0.112561032891646</v>
      </c>
      <c r="CV169" s="141">
        <f t="shared" si="998"/>
        <v>0.0834534521294095</v>
      </c>
      <c r="CW169" s="141">
        <f t="shared" si="998"/>
        <v>0.0863274875009714</v>
      </c>
      <c r="CX169" s="141">
        <f t="shared" si="998"/>
        <v>0.108899978283053</v>
      </c>
      <c r="CY169" s="140">
        <f t="shared" si="998"/>
        <v>0.0983602475773289</v>
      </c>
      <c r="CZ169" s="141">
        <f t="shared" si="998"/>
        <v>0.0388698095535436</v>
      </c>
      <c r="DA169" s="141">
        <f t="shared" si="998"/>
        <v>0.0057598457363055</v>
      </c>
      <c r="DB169" s="141">
        <f t="shared" si="998"/>
        <v>-0.011589226311836</v>
      </c>
      <c r="DC169" s="141">
        <f t="shared" si="998"/>
        <v>0.00546884213009013</v>
      </c>
      <c r="DD169" s="140">
        <f t="shared" si="998"/>
        <v>0.00814990440420704</v>
      </c>
      <c r="DE169" s="142">
        <f t="shared" si="998"/>
        <v>-0.0323714227170274</v>
      </c>
      <c r="DF169" s="141">
        <f t="shared" si="998"/>
        <v>-0.110422573787789</v>
      </c>
      <c r="DG169" s="213">
        <v>-0.18</v>
      </c>
      <c r="DH169" s="213">
        <v>-0.15</v>
      </c>
      <c r="DI169" s="140">
        <f t="shared" si="998"/>
        <v>-0.123852834993233</v>
      </c>
      <c r="DJ169" s="213">
        <v>-0.12</v>
      </c>
      <c r="DK169" s="213">
        <v>-0.09</v>
      </c>
      <c r="DL169" s="213">
        <v>-0.045</v>
      </c>
      <c r="DM169" s="213">
        <v>-0.045</v>
      </c>
      <c r="DN169" s="140">
        <f t="shared" ref="DN169" si="999">DN168/DI168-1</f>
        <v>-0.07235735362273</v>
      </c>
      <c r="DO169" s="213">
        <v>-0.03</v>
      </c>
      <c r="DP169" s="213">
        <v>-0.03</v>
      </c>
      <c r="DQ169" s="213">
        <v>-0.03</v>
      </c>
      <c r="DR169" s="213">
        <v>-0.03</v>
      </c>
      <c r="DS169" s="140">
        <f t="shared" ref="DS169" si="1000">DS168/DN168-1</f>
        <v>-0.0300000000000001</v>
      </c>
    </row>
    <row r="170" s="94" customFormat="1" hidden="1" outlineLevel="1" spans="2:123">
      <c r="B170" s="287" t="s">
        <v>368</v>
      </c>
      <c r="C170" s="127"/>
      <c r="D170" s="126"/>
      <c r="E170" s="126"/>
      <c r="F170" s="126"/>
      <c r="G170" s="126"/>
      <c r="H170" s="127"/>
      <c r="I170" s="126"/>
      <c r="J170" s="126"/>
      <c r="K170" s="126"/>
      <c r="L170" s="126"/>
      <c r="M170" s="127"/>
      <c r="N170" s="126"/>
      <c r="O170" s="126"/>
      <c r="P170" s="126"/>
      <c r="Q170" s="126"/>
      <c r="R170" s="127"/>
      <c r="S170" s="126"/>
      <c r="T170" s="126"/>
      <c r="U170" s="126"/>
      <c r="V170" s="126"/>
      <c r="W170" s="127"/>
      <c r="X170" s="126"/>
      <c r="Y170" s="126"/>
      <c r="Z170" s="126"/>
      <c r="AA170" s="126"/>
      <c r="AB170" s="127"/>
      <c r="AC170" s="126"/>
      <c r="AD170" s="126"/>
      <c r="AE170" s="126"/>
      <c r="AF170" s="126"/>
      <c r="AG170" s="127"/>
      <c r="AH170" s="126"/>
      <c r="AI170" s="126"/>
      <c r="AJ170" s="126"/>
      <c r="AK170" s="126"/>
      <c r="AL170" s="127"/>
      <c r="AM170" s="126"/>
      <c r="AN170" s="126"/>
      <c r="AO170" s="126"/>
      <c r="AP170" s="126"/>
      <c r="AQ170" s="127"/>
      <c r="AR170" s="126"/>
      <c r="AS170" s="126"/>
      <c r="AT170" s="126"/>
      <c r="AU170" s="126"/>
      <c r="AV170" s="127"/>
      <c r="AW170" s="126"/>
      <c r="AX170" s="126"/>
      <c r="AY170" s="126"/>
      <c r="AZ170" s="126"/>
      <c r="BA170" s="127"/>
      <c r="BB170" s="126"/>
      <c r="BC170" s="126"/>
      <c r="BD170" s="126"/>
      <c r="BE170" s="126"/>
      <c r="BF170" s="127"/>
      <c r="BG170" s="126"/>
      <c r="BH170" s="126"/>
      <c r="BI170" s="126"/>
      <c r="BJ170" s="126"/>
      <c r="BK170" s="127"/>
      <c r="BL170" s="126"/>
      <c r="BM170" s="126"/>
      <c r="BN170" s="126"/>
      <c r="BO170" s="126"/>
      <c r="BP170" s="127"/>
      <c r="BQ170" s="126"/>
      <c r="BR170" s="126"/>
      <c r="BS170" s="126"/>
      <c r="BT170" s="126"/>
      <c r="BU170" s="127"/>
      <c r="BV170" s="126"/>
      <c r="BW170" s="126"/>
      <c r="BX170" s="126"/>
      <c r="BY170" s="126"/>
      <c r="BZ170" s="127"/>
      <c r="CA170" s="126"/>
      <c r="CB170" s="126"/>
      <c r="CC170" s="126"/>
      <c r="CD170" s="126"/>
      <c r="CE170" s="769" t="s">
        <v>208</v>
      </c>
      <c r="CF170" s="770" t="s">
        <v>208</v>
      </c>
      <c r="CG170" s="770" t="s">
        <v>208</v>
      </c>
      <c r="CH170" s="770" t="s">
        <v>208</v>
      </c>
      <c r="CI170" s="770" t="s">
        <v>208</v>
      </c>
      <c r="CJ170" s="769" t="s">
        <v>208</v>
      </c>
      <c r="CK170" s="770" t="s">
        <v>208</v>
      </c>
      <c r="CL170" s="770" t="s">
        <v>208</v>
      </c>
      <c r="CM170" s="770" t="s">
        <v>208</v>
      </c>
      <c r="CN170" s="770" t="s">
        <v>208</v>
      </c>
      <c r="CO170" s="769" t="s">
        <v>208</v>
      </c>
      <c r="CP170" s="770" t="s">
        <v>208</v>
      </c>
      <c r="CQ170" s="770" t="s">
        <v>208</v>
      </c>
      <c r="CR170" s="770" t="s">
        <v>208</v>
      </c>
      <c r="CS170" s="770" t="s">
        <v>208</v>
      </c>
      <c r="CT170" s="769" t="s">
        <v>208</v>
      </c>
      <c r="CU170" s="770" t="s">
        <v>208</v>
      </c>
      <c r="CV170" s="770" t="s">
        <v>208</v>
      </c>
      <c r="CW170" s="126">
        <v>10.664</v>
      </c>
      <c r="CX170" s="126">
        <f>CY170-CW170</f>
        <v>22.636</v>
      </c>
      <c r="CY170" s="127">
        <v>33.3</v>
      </c>
      <c r="CZ170" s="126">
        <v>19.214</v>
      </c>
      <c r="DA170" s="126">
        <v>21.922</v>
      </c>
      <c r="DB170" s="126">
        <v>20.813</v>
      </c>
      <c r="DC170" s="126">
        <f>DD170-CZ170-DA170-DB170</f>
        <v>33.537</v>
      </c>
      <c r="DD170" s="127">
        <v>95.486</v>
      </c>
      <c r="DE170" s="128">
        <v>24.663</v>
      </c>
      <c r="DF170" s="126">
        <v>28.888</v>
      </c>
      <c r="DG170" s="126">
        <f>DG173-DG166-DG168</f>
        <v>25.8204730885808</v>
      </c>
      <c r="DH170" s="126">
        <f>DH173-DH166-DH168</f>
        <v>36.759331082093</v>
      </c>
      <c r="DI170" s="127">
        <f>DE170+DF170+DG170+DH170</f>
        <v>116.130804170674</v>
      </c>
      <c r="DJ170" s="126">
        <f>DJ173-DJ166-DJ168</f>
        <v>35.2840091846637</v>
      </c>
      <c r="DK170" s="126">
        <f>DK173-DK166-DK168</f>
        <v>35.1836785604378</v>
      </c>
      <c r="DL170" s="126">
        <f>DL173-DL166-DL168</f>
        <v>25.1313880999554</v>
      </c>
      <c r="DM170" s="126">
        <f>DM173-DM166-DM168</f>
        <v>35.9245839917043</v>
      </c>
      <c r="DN170" s="127">
        <f>DJ170+DK170+DL170+DM170</f>
        <v>131.523659836761</v>
      </c>
      <c r="DO170" s="126">
        <f>DO173-DO166-DO168</f>
        <v>34.1724069346679</v>
      </c>
      <c r="DP170" s="126">
        <f>DP173-DP166-DP168</f>
        <v>34.007138479362</v>
      </c>
      <c r="DQ170" s="126">
        <f>DQ173-DQ166-DQ168</f>
        <v>24.1621222924157</v>
      </c>
      <c r="DR170" s="126">
        <f>DR173-DR166-DR168</f>
        <v>34.5865916952805</v>
      </c>
      <c r="DS170" s="127">
        <f>DO170+DP170+DQ170+DR170</f>
        <v>126.928259401726</v>
      </c>
    </row>
    <row r="171" s="92" customFormat="1" hidden="1" outlineLevel="1" spans="2:123">
      <c r="B171" s="288" t="s">
        <v>69</v>
      </c>
      <c r="C171" s="216"/>
      <c r="D171" s="217"/>
      <c r="E171" s="217"/>
      <c r="F171" s="217"/>
      <c r="G171" s="217"/>
      <c r="H171" s="140"/>
      <c r="I171" s="141"/>
      <c r="J171" s="141"/>
      <c r="K171" s="141"/>
      <c r="L171" s="141"/>
      <c r="M171" s="140"/>
      <c r="N171" s="141"/>
      <c r="O171" s="141"/>
      <c r="P171" s="141"/>
      <c r="Q171" s="141"/>
      <c r="R171" s="140"/>
      <c r="S171" s="141"/>
      <c r="T171" s="141"/>
      <c r="U171" s="141"/>
      <c r="V171" s="141"/>
      <c r="W171" s="140"/>
      <c r="X171" s="141"/>
      <c r="Y171" s="141"/>
      <c r="Z171" s="141"/>
      <c r="AA171" s="141"/>
      <c r="AB171" s="140"/>
      <c r="AC171" s="141"/>
      <c r="AD171" s="141"/>
      <c r="AE171" s="141"/>
      <c r="AF171" s="141"/>
      <c r="AG171" s="140"/>
      <c r="AH171" s="141"/>
      <c r="AI171" s="141"/>
      <c r="AJ171" s="141"/>
      <c r="AK171" s="141"/>
      <c r="AL171" s="140"/>
      <c r="AM171" s="141"/>
      <c r="AN171" s="141"/>
      <c r="AO171" s="141"/>
      <c r="AP171" s="141"/>
      <c r="AQ171" s="140"/>
      <c r="AR171" s="141"/>
      <c r="AS171" s="141"/>
      <c r="AT171" s="141"/>
      <c r="AU171" s="141"/>
      <c r="AV171" s="140"/>
      <c r="AW171" s="141"/>
      <c r="AX171" s="141"/>
      <c r="AY171" s="141"/>
      <c r="AZ171" s="141"/>
      <c r="BA171" s="140"/>
      <c r="BB171" s="141"/>
      <c r="BC171" s="141"/>
      <c r="BD171" s="141"/>
      <c r="BE171" s="141"/>
      <c r="BF171" s="140"/>
      <c r="BG171" s="292"/>
      <c r="BH171" s="292"/>
      <c r="BI171" s="292"/>
      <c r="BJ171" s="292"/>
      <c r="BK171" s="140"/>
      <c r="BL171" s="292"/>
      <c r="BM171" s="292"/>
      <c r="BN171" s="292"/>
      <c r="BO171" s="293"/>
      <c r="BP171" s="140"/>
      <c r="BQ171" s="291"/>
      <c r="BR171" s="291"/>
      <c r="BS171" s="291"/>
      <c r="BT171" s="291"/>
      <c r="BU171" s="140"/>
      <c r="BV171" s="291"/>
      <c r="BW171" s="291"/>
      <c r="BX171" s="291"/>
      <c r="BY171" s="291"/>
      <c r="BZ171" s="140"/>
      <c r="CA171" s="141"/>
      <c r="CB171" s="141"/>
      <c r="CC171" s="141"/>
      <c r="CD171" s="141"/>
      <c r="CE171" s="771" t="s">
        <v>208</v>
      </c>
      <c r="CF171" s="772" t="s">
        <v>208</v>
      </c>
      <c r="CG171" s="772" t="s">
        <v>208</v>
      </c>
      <c r="CH171" s="772" t="s">
        <v>208</v>
      </c>
      <c r="CI171" s="772" t="s">
        <v>208</v>
      </c>
      <c r="CJ171" s="771" t="s">
        <v>208</v>
      </c>
      <c r="CK171" s="772" t="s">
        <v>208</v>
      </c>
      <c r="CL171" s="772" t="s">
        <v>208</v>
      </c>
      <c r="CM171" s="772" t="s">
        <v>208</v>
      </c>
      <c r="CN171" s="772" t="s">
        <v>208</v>
      </c>
      <c r="CO171" s="771" t="s">
        <v>208</v>
      </c>
      <c r="CP171" s="772" t="s">
        <v>208</v>
      </c>
      <c r="CQ171" s="772" t="s">
        <v>208</v>
      </c>
      <c r="CR171" s="772" t="s">
        <v>208</v>
      </c>
      <c r="CS171" s="772" t="s">
        <v>208</v>
      </c>
      <c r="CT171" s="771" t="s">
        <v>208</v>
      </c>
      <c r="CU171" s="772" t="s">
        <v>208</v>
      </c>
      <c r="CV171" s="772" t="s">
        <v>208</v>
      </c>
      <c r="CW171" s="772" t="s">
        <v>208</v>
      </c>
      <c r="CX171" s="772" t="s">
        <v>208</v>
      </c>
      <c r="CY171" s="771" t="s">
        <v>208</v>
      </c>
      <c r="CZ171" s="772" t="s">
        <v>208</v>
      </c>
      <c r="DA171" s="772" t="s">
        <v>208</v>
      </c>
      <c r="DB171" s="142">
        <f>DB170/CW170-1</f>
        <v>0.951706676669167</v>
      </c>
      <c r="DC171" s="142">
        <f>DC170/CX170-1</f>
        <v>0.481578017317548</v>
      </c>
      <c r="DD171" s="143">
        <f t="shared" ref="DD171:DN171" si="1001">DD170/CY170-1</f>
        <v>1.86744744744745</v>
      </c>
      <c r="DE171" s="142">
        <f t="shared" si="1001"/>
        <v>0.283595295097325</v>
      </c>
      <c r="DF171" s="142">
        <f t="shared" si="1001"/>
        <v>0.31776297783049</v>
      </c>
      <c r="DG171" s="142">
        <f t="shared" si="1001"/>
        <v>0.240593527534752</v>
      </c>
      <c r="DH171" s="142">
        <f t="shared" si="1001"/>
        <v>0.0960828661506099</v>
      </c>
      <c r="DI171" s="143">
        <f t="shared" si="1001"/>
        <v>0.216207655265419</v>
      </c>
      <c r="DJ171" s="142">
        <f t="shared" si="1001"/>
        <v>0.430645468299222</v>
      </c>
      <c r="DK171" s="142">
        <f t="shared" si="1001"/>
        <v>0.21793404044717</v>
      </c>
      <c r="DL171" s="142">
        <f t="shared" si="1001"/>
        <v>-0.0266875431081909</v>
      </c>
      <c r="DM171" s="142">
        <f t="shared" si="1001"/>
        <v>-0.0227084407092311</v>
      </c>
      <c r="DN171" s="143">
        <f t="shared" si="1001"/>
        <v>0.132547568029109</v>
      </c>
      <c r="DO171" s="142">
        <f t="shared" ref="DO171" si="1002">DO170/DJ170-1</f>
        <v>-0.0315044201518611</v>
      </c>
      <c r="DP171" s="142">
        <f t="shared" ref="DP171" si="1003">DP170/DK170-1</f>
        <v>-0.0334399394609854</v>
      </c>
      <c r="DQ171" s="142">
        <f t="shared" ref="DQ171" si="1004">DQ170/DL170-1</f>
        <v>-0.038567937580073</v>
      </c>
      <c r="DR171" s="142">
        <f t="shared" ref="DR171" si="1005">DR170/DM170-1</f>
        <v>-0.0372444757253911</v>
      </c>
      <c r="DS171" s="143">
        <f t="shared" ref="DS171" si="1006">DS170/DN170-1</f>
        <v>-0.0349397244627968</v>
      </c>
    </row>
    <row r="172" hidden="1" outlineLevel="1" spans="2:123">
      <c r="B172" s="144"/>
      <c r="C172" s="242"/>
      <c r="D172" s="120"/>
      <c r="E172" s="120"/>
      <c r="F172" s="120"/>
      <c r="G172" s="120"/>
      <c r="H172" s="140"/>
      <c r="I172" s="141"/>
      <c r="J172" s="141"/>
      <c r="K172" s="141"/>
      <c r="L172" s="141"/>
      <c r="M172" s="140"/>
      <c r="N172" s="141"/>
      <c r="O172" s="141"/>
      <c r="P172" s="141"/>
      <c r="Q172" s="141"/>
      <c r="R172" s="140"/>
      <c r="S172" s="141"/>
      <c r="T172" s="141"/>
      <c r="U172" s="141"/>
      <c r="V172" s="141"/>
      <c r="W172" s="140"/>
      <c r="X172" s="141"/>
      <c r="Y172" s="141"/>
      <c r="Z172" s="141"/>
      <c r="AA172" s="141"/>
      <c r="AB172" s="140"/>
      <c r="AC172" s="141"/>
      <c r="AD172" s="141"/>
      <c r="AE172" s="141"/>
      <c r="AF172" s="141"/>
      <c r="AG172" s="140"/>
      <c r="AH172" s="141"/>
      <c r="AI172" s="141"/>
      <c r="AJ172" s="141"/>
      <c r="AK172" s="141"/>
      <c r="AL172" s="140"/>
      <c r="AM172" s="141"/>
      <c r="AN172" s="141"/>
      <c r="AO172" s="141"/>
      <c r="AP172" s="141"/>
      <c r="AQ172" s="140"/>
      <c r="AR172" s="141"/>
      <c r="AS172" s="141"/>
      <c r="AT172" s="141"/>
      <c r="AU172" s="141"/>
      <c r="AV172" s="140"/>
      <c r="AW172" s="141"/>
      <c r="AX172" s="141"/>
      <c r="AY172" s="141"/>
      <c r="AZ172" s="141"/>
      <c r="BA172" s="140"/>
      <c r="BB172" s="141"/>
      <c r="BC172" s="141"/>
      <c r="BD172" s="141"/>
      <c r="BE172" s="141"/>
      <c r="BF172" s="140"/>
      <c r="BG172" s="292"/>
      <c r="BH172" s="292"/>
      <c r="BI172" s="292"/>
      <c r="BJ172" s="292"/>
      <c r="BK172" s="140"/>
      <c r="BL172" s="292"/>
      <c r="BM172" s="292"/>
      <c r="BN172" s="292"/>
      <c r="BO172" s="182"/>
      <c r="BP172" s="140"/>
      <c r="BQ172" s="291"/>
      <c r="BR172" s="291"/>
      <c r="BS172" s="291"/>
      <c r="BT172" s="291"/>
      <c r="BU172" s="140"/>
      <c r="BV172" s="291"/>
      <c r="BW172" s="291"/>
      <c r="BX172" s="291"/>
      <c r="BY172" s="291"/>
      <c r="BZ172" s="140"/>
      <c r="CA172" s="141"/>
      <c r="CB172" s="141"/>
      <c r="CC172" s="141"/>
      <c r="CD172" s="141"/>
      <c r="CE172" s="188"/>
      <c r="CF172" s="189"/>
      <c r="CG172" s="189"/>
      <c r="CH172" s="189"/>
      <c r="CI172" s="189"/>
      <c r="CJ172" s="188"/>
      <c r="CK172" s="189"/>
      <c r="CL172" s="189"/>
      <c r="CM172" s="189"/>
      <c r="CN172" s="189"/>
      <c r="CO172" s="188"/>
      <c r="CP172" s="189"/>
      <c r="CQ172" s="189"/>
      <c r="CR172" s="189"/>
      <c r="CS172" s="189"/>
      <c r="CT172" s="188"/>
      <c r="CU172" s="189"/>
      <c r="CV172" s="189"/>
      <c r="CW172" s="189"/>
      <c r="CX172" s="189"/>
      <c r="CY172" s="188"/>
      <c r="CZ172" s="189"/>
      <c r="DA172" s="189"/>
      <c r="DB172" s="294"/>
      <c r="DC172" s="294"/>
      <c r="DD172" s="143"/>
      <c r="DE172" s="142"/>
      <c r="DF172" s="142"/>
      <c r="DG172" s="142"/>
      <c r="DH172" s="142"/>
      <c r="DI172" s="143"/>
      <c r="DJ172" s="294"/>
      <c r="DK172" s="294"/>
      <c r="DL172" s="294"/>
      <c r="DM172" s="294"/>
      <c r="DN172" s="143"/>
      <c r="DO172" s="294"/>
      <c r="DP172" s="294"/>
      <c r="DQ172" s="294"/>
      <c r="DR172" s="294"/>
      <c r="DS172" s="143"/>
    </row>
    <row r="173" s="95" customFormat="1" collapsed="1" spans="2:123">
      <c r="B173" s="295" t="s">
        <v>369</v>
      </c>
      <c r="C173" s="296"/>
      <c r="D173" s="133"/>
      <c r="E173" s="133"/>
      <c r="F173" s="133"/>
      <c r="G173" s="133"/>
      <c r="H173" s="134"/>
      <c r="I173" s="133"/>
      <c r="J173" s="133"/>
      <c r="K173" s="133"/>
      <c r="L173" s="133"/>
      <c r="M173" s="134"/>
      <c r="N173" s="133"/>
      <c r="O173" s="133"/>
      <c r="P173" s="133"/>
      <c r="Q173" s="133"/>
      <c r="R173" s="134"/>
      <c r="S173" s="133"/>
      <c r="T173" s="133"/>
      <c r="U173" s="133"/>
      <c r="V173" s="133"/>
      <c r="W173" s="134"/>
      <c r="X173" s="133"/>
      <c r="Y173" s="133"/>
      <c r="Z173" s="133"/>
      <c r="AA173" s="133"/>
      <c r="AB173" s="134"/>
      <c r="AC173" s="133"/>
      <c r="AD173" s="133"/>
      <c r="AE173" s="133"/>
      <c r="AF173" s="133"/>
      <c r="AG173" s="134"/>
      <c r="AH173" s="133"/>
      <c r="AI173" s="133"/>
      <c r="AJ173" s="133"/>
      <c r="AK173" s="133"/>
      <c r="AL173" s="134"/>
      <c r="AM173" s="133"/>
      <c r="AN173" s="133"/>
      <c r="AO173" s="133"/>
      <c r="AP173" s="133"/>
      <c r="AQ173" s="134"/>
      <c r="AR173" s="133"/>
      <c r="AS173" s="133"/>
      <c r="AT173" s="133"/>
      <c r="AU173" s="133"/>
      <c r="AV173" s="134"/>
      <c r="AW173" s="133"/>
      <c r="AX173" s="133"/>
      <c r="AY173" s="133"/>
      <c r="AZ173" s="133"/>
      <c r="BA173" s="134"/>
      <c r="BB173" s="133"/>
      <c r="BC173" s="133"/>
      <c r="BD173" s="133"/>
      <c r="BE173" s="133"/>
      <c r="BF173" s="134"/>
      <c r="BG173" s="133"/>
      <c r="BH173" s="133"/>
      <c r="BI173" s="133"/>
      <c r="BJ173" s="133"/>
      <c r="BK173" s="134"/>
      <c r="BL173" s="133"/>
      <c r="BM173" s="133"/>
      <c r="BN173" s="133"/>
      <c r="BO173" s="133"/>
      <c r="BP173" s="134"/>
      <c r="BQ173" s="133"/>
      <c r="BR173" s="133"/>
      <c r="BS173" s="133"/>
      <c r="BT173" s="126"/>
      <c r="BU173" s="127"/>
      <c r="BV173" s="126"/>
      <c r="BW173" s="126"/>
      <c r="BX173" s="126"/>
      <c r="BY173" s="133"/>
      <c r="BZ173" s="134"/>
      <c r="CA173" s="133"/>
      <c r="CB173" s="133"/>
      <c r="CC173" s="133"/>
      <c r="CD173" s="133"/>
      <c r="CE173" s="134">
        <f t="shared" ref="CE173:CT173" si="1007">CE168+CE166</f>
        <v>3777.74</v>
      </c>
      <c r="CF173" s="133">
        <f t="shared" si="1007"/>
        <v>1017.343</v>
      </c>
      <c r="CG173" s="133">
        <f t="shared" si="1007"/>
        <v>1212.794</v>
      </c>
      <c r="CH173" s="133">
        <f t="shared" si="1007"/>
        <v>1226.299</v>
      </c>
      <c r="CI173" s="133">
        <f t="shared" si="1007"/>
        <v>1843.47</v>
      </c>
      <c r="CJ173" s="134">
        <f t="shared" si="1007"/>
        <v>5299.906</v>
      </c>
      <c r="CK173" s="133">
        <f t="shared" si="1007"/>
        <v>1343.273</v>
      </c>
      <c r="CL173" s="133">
        <f t="shared" si="1007"/>
        <v>1546.983</v>
      </c>
      <c r="CM173" s="133">
        <f t="shared" si="1007"/>
        <v>1540.335</v>
      </c>
      <c r="CN173" s="133">
        <f t="shared" si="1007"/>
        <v>2386.863</v>
      </c>
      <c r="CO173" s="134">
        <f t="shared" si="1007"/>
        <v>6817.454</v>
      </c>
      <c r="CP173" s="133">
        <f t="shared" si="1007"/>
        <v>1567.738</v>
      </c>
      <c r="CQ173" s="133">
        <f t="shared" si="1007"/>
        <v>1719.773</v>
      </c>
      <c r="CR173" s="133">
        <f t="shared" si="1007"/>
        <v>1732.398</v>
      </c>
      <c r="CS173" s="133">
        <f t="shared" si="1007"/>
        <v>2611.738</v>
      </c>
      <c r="CT173" s="134">
        <f t="shared" si="1007"/>
        <v>7631.647</v>
      </c>
      <c r="CU173" s="133">
        <v>1622.264</v>
      </c>
      <c r="CV173" s="133">
        <v>1741.433</v>
      </c>
      <c r="CW173" s="133">
        <v>1770.382</v>
      </c>
      <c r="CX173" s="133">
        <f>CY173-CU173-CV173-CW173</f>
        <v>2794.077</v>
      </c>
      <c r="CY173" s="134">
        <v>7928.156</v>
      </c>
      <c r="CZ173" s="133">
        <v>1674.558</v>
      </c>
      <c r="DA173" s="133">
        <v>1758.217</v>
      </c>
      <c r="DB173" s="133">
        <v>1733.382</v>
      </c>
      <c r="DC173" s="133">
        <f>DD173-CZ173-DA173-DB173</f>
        <v>2680.887</v>
      </c>
      <c r="DD173" s="134">
        <v>7847.044</v>
      </c>
      <c r="DE173" s="135">
        <v>1621.21</v>
      </c>
      <c r="DF173" s="133">
        <v>1616.772</v>
      </c>
      <c r="DG173" s="133">
        <f>DB173*(1+DG179)*(1+DG182)*(1+DG191*DG181)*(1+DG176)</f>
        <v>1457.74651308858</v>
      </c>
      <c r="DH173" s="133">
        <f>DC173*(1+DH179)*(1+DH182)*(1+DH191*DH181)*(1+DH176)</f>
        <v>2287.00683108209</v>
      </c>
      <c r="DI173" s="134">
        <f>DE173+DF173+DG173+DH173</f>
        <v>6982.73534417067</v>
      </c>
      <c r="DJ173" s="133">
        <f>DE173*(1+DJ179)*(1+DJ182)*(1+DJ191*DJ181)*(1+DJ176)</f>
        <v>1479.64154918466</v>
      </c>
      <c r="DK173" s="133">
        <f>DF173*(1+DK179)*(1+DK182)*(1+DK191*DK181)*(1+DK176)</f>
        <v>1493.17880856044</v>
      </c>
      <c r="DL173" s="133">
        <f>DG173*(1+DL179)*(1+DL182)*(1+DL191*DL181)*(1+DL176)</f>
        <v>1386.82066969996</v>
      </c>
      <c r="DM173" s="133">
        <f>DH173*(1+DM179)*(1+DM182)*(1+DM191*DM181)*(1+DM176)</f>
        <v>2175.6889522417</v>
      </c>
      <c r="DN173" s="134">
        <f>DJ173+DK173+DL173+DM173</f>
        <v>6535.32997968676</v>
      </c>
      <c r="DO173" s="133">
        <f>DJ173*(1+DO179)*(1+DO182)*(1+DO191*DO181)*(1+DO176)</f>
        <v>1429.22413343467</v>
      </c>
      <c r="DP173" s="133">
        <f>DK173*(1+DP179)*(1+DP182)*(1+DP191*DP181)*(1+DP176)</f>
        <v>1442.27289717936</v>
      </c>
      <c r="DQ173" s="133">
        <f>DL173*(1+DQ179)*(1+DQ182)*(1+DQ191*DQ181)*(1+DQ176)</f>
        <v>1339.49064317442</v>
      </c>
      <c r="DR173" s="133">
        <f>DM173*(1+DR179)*(1+DR182)*(1+DR191*DR181)*(1+DR176)</f>
        <v>2101.39713436028</v>
      </c>
      <c r="DS173" s="134">
        <f>DO173+DP173+DQ173+DR173</f>
        <v>6312.38480814872</v>
      </c>
    </row>
    <row r="174" s="93" customFormat="1" spans="2:123">
      <c r="B174" s="288" t="s">
        <v>370</v>
      </c>
      <c r="C174" s="297"/>
      <c r="D174" s="239"/>
      <c r="E174" s="239"/>
      <c r="F174" s="239"/>
      <c r="G174" s="239"/>
      <c r="H174" s="238"/>
      <c r="I174" s="239"/>
      <c r="J174" s="239"/>
      <c r="K174" s="239"/>
      <c r="L174" s="239"/>
      <c r="M174" s="238"/>
      <c r="N174" s="239"/>
      <c r="O174" s="239"/>
      <c r="P174" s="239"/>
      <c r="Q174" s="239"/>
      <c r="R174" s="238"/>
      <c r="S174" s="239"/>
      <c r="T174" s="239"/>
      <c r="U174" s="239"/>
      <c r="V174" s="239"/>
      <c r="W174" s="238"/>
      <c r="X174" s="239"/>
      <c r="Y174" s="239"/>
      <c r="Z174" s="240"/>
      <c r="AA174" s="240"/>
      <c r="AB174" s="238"/>
      <c r="AC174" s="240"/>
      <c r="AD174" s="240"/>
      <c r="AE174" s="240"/>
      <c r="AF174" s="240"/>
      <c r="AG174" s="241"/>
      <c r="AH174" s="240"/>
      <c r="AI174" s="240"/>
      <c r="AJ174" s="240"/>
      <c r="AK174" s="240"/>
      <c r="AL174" s="241"/>
      <c r="AM174" s="240"/>
      <c r="AN174" s="240"/>
      <c r="AO174" s="240"/>
      <c r="AP174" s="240"/>
      <c r="AQ174" s="241"/>
      <c r="AR174" s="240"/>
      <c r="AS174" s="240"/>
      <c r="AT174" s="240"/>
      <c r="AU174" s="240"/>
      <c r="AV174" s="241"/>
      <c r="AW174" s="240"/>
      <c r="AX174" s="240"/>
      <c r="AY174" s="240"/>
      <c r="AZ174" s="240"/>
      <c r="BA174" s="241"/>
      <c r="BB174" s="240"/>
      <c r="BC174" s="240"/>
      <c r="BD174" s="240"/>
      <c r="BE174" s="240"/>
      <c r="BF174" s="241"/>
      <c r="BG174" s="240"/>
      <c r="BH174" s="240"/>
      <c r="BI174" s="240"/>
      <c r="BJ174" s="240"/>
      <c r="BK174" s="241"/>
      <c r="BL174" s="240"/>
      <c r="BM174" s="240"/>
      <c r="BN174" s="240"/>
      <c r="BO174" s="240"/>
      <c r="BP174" s="241"/>
      <c r="BQ174" s="240"/>
      <c r="BR174" s="240"/>
      <c r="BS174" s="240"/>
      <c r="BT174" s="217"/>
      <c r="BU174" s="216"/>
      <c r="BV174" s="217"/>
      <c r="BW174" s="217"/>
      <c r="BX174" s="217"/>
      <c r="BY174" s="239"/>
      <c r="BZ174" s="238"/>
      <c r="CA174" s="239"/>
      <c r="CB174" s="239"/>
      <c r="CC174" s="239"/>
      <c r="CD174" s="239"/>
      <c r="CE174" s="771" t="s">
        <v>208</v>
      </c>
      <c r="CF174" s="772" t="s">
        <v>208</v>
      </c>
      <c r="CG174" s="772" t="s">
        <v>208</v>
      </c>
      <c r="CH174" s="772" t="s">
        <v>208</v>
      </c>
      <c r="CI174" s="772" t="s">
        <v>208</v>
      </c>
      <c r="CJ174" s="140">
        <f>CJ173/CE173-1</f>
        <v>0.402930323420881</v>
      </c>
      <c r="CK174" s="141">
        <f t="shared" ref="CK174:CT174" si="1008">CK173/CF173-1</f>
        <v>0.320373757916455</v>
      </c>
      <c r="CL174" s="141">
        <f t="shared" si="1008"/>
        <v>0.275552979318829</v>
      </c>
      <c r="CM174" s="141">
        <f t="shared" si="1008"/>
        <v>0.256084364416835</v>
      </c>
      <c r="CN174" s="141">
        <f t="shared" si="1008"/>
        <v>0.29476639164185</v>
      </c>
      <c r="CO174" s="140">
        <f t="shared" si="1008"/>
        <v>0.286334889713138</v>
      </c>
      <c r="CP174" s="141">
        <f t="shared" si="1008"/>
        <v>0.167103038622826</v>
      </c>
      <c r="CQ174" s="141">
        <f t="shared" si="1008"/>
        <v>0.111694827932821</v>
      </c>
      <c r="CR174" s="141">
        <f t="shared" si="1008"/>
        <v>0.124689109836497</v>
      </c>
      <c r="CS174" s="141">
        <f t="shared" si="1008"/>
        <v>0.0942136184607161</v>
      </c>
      <c r="CT174" s="140">
        <f t="shared" si="1008"/>
        <v>0.119427721844548</v>
      </c>
      <c r="CU174" s="141">
        <f t="shared" ref="CU174:DI174" si="1009">CU173/CP173-1</f>
        <v>0.0347800461556713</v>
      </c>
      <c r="CV174" s="141">
        <f t="shared" si="1009"/>
        <v>0.0125946854613952</v>
      </c>
      <c r="CW174" s="141">
        <f t="shared" si="1009"/>
        <v>0.02192567758679</v>
      </c>
      <c r="CX174" s="141">
        <f t="shared" si="1009"/>
        <v>0.0698151958580835</v>
      </c>
      <c r="CY174" s="140">
        <f t="shared" si="1009"/>
        <v>0.038852556990647</v>
      </c>
      <c r="CZ174" s="141">
        <f t="shared" si="1009"/>
        <v>0.032235197230537</v>
      </c>
      <c r="DA174" s="141">
        <f t="shared" si="1009"/>
        <v>0.00963803947668396</v>
      </c>
      <c r="DB174" s="141">
        <f t="shared" si="1009"/>
        <v>-0.0208994443007215</v>
      </c>
      <c r="DC174" s="141">
        <f t="shared" si="1009"/>
        <v>-0.0405106945871569</v>
      </c>
      <c r="DD174" s="140">
        <f t="shared" si="1009"/>
        <v>-0.0102308784035027</v>
      </c>
      <c r="DE174" s="142">
        <f t="shared" si="1009"/>
        <v>-0.0318579589360296</v>
      </c>
      <c r="DF174" s="141">
        <f t="shared" si="1009"/>
        <v>-0.08044797655807</v>
      </c>
      <c r="DG174" s="141">
        <f t="shared" si="1009"/>
        <v>-0.159016008537887</v>
      </c>
      <c r="DH174" s="141">
        <f t="shared" si="1009"/>
        <v>-0.146921585623679</v>
      </c>
      <c r="DI174" s="140">
        <f t="shared" si="1009"/>
        <v>-0.110144489546551</v>
      </c>
      <c r="DJ174" s="141">
        <f t="shared" ref="DJ174" si="1010">DJ173/DE173-1</f>
        <v>-0.0873227100840337</v>
      </c>
      <c r="DK174" s="141">
        <f t="shared" ref="DK174" si="1011">DK173/DF173-1</f>
        <v>-0.0764444160583942</v>
      </c>
      <c r="DL174" s="141">
        <f t="shared" ref="DL174" si="1012">DL173/DG173-1</f>
        <v>-0.0486544421487604</v>
      </c>
      <c r="DM174" s="141">
        <f t="shared" ref="DM174" si="1013">DM173/DH173-1</f>
        <v>-0.0486740473738415</v>
      </c>
      <c r="DN174" s="140">
        <f t="shared" ref="DN174" si="1014">DN173/DI173-1</f>
        <v>-0.0640730805954742</v>
      </c>
      <c r="DO174" s="141">
        <f t="shared" ref="DO174" si="1015">DO173/DJ173-1</f>
        <v>-0.034074074074074</v>
      </c>
      <c r="DP174" s="141">
        <f t="shared" ref="DP174" si="1016">DP173/DK173-1</f>
        <v>-0.0340923076923076</v>
      </c>
      <c r="DQ174" s="141">
        <f t="shared" ref="DQ174" si="1017">DQ173/DL173-1</f>
        <v>-0.0341284403669725</v>
      </c>
      <c r="DR174" s="141">
        <f t="shared" ref="DR174" si="1018">DR173/DM173-1</f>
        <v>-0.0341463414634146</v>
      </c>
      <c r="DS174" s="140">
        <f t="shared" ref="DS174" si="1019">DS173/DN173-1</f>
        <v>-0.0341138354499311</v>
      </c>
    </row>
    <row r="175" s="93" customFormat="1" spans="2:123">
      <c r="B175" s="288" t="s">
        <v>371</v>
      </c>
      <c r="C175" s="297"/>
      <c r="D175" s="239"/>
      <c r="E175" s="239"/>
      <c r="F175" s="239"/>
      <c r="G175" s="239"/>
      <c r="H175" s="238"/>
      <c r="I175" s="239"/>
      <c r="J175" s="239"/>
      <c r="K175" s="239"/>
      <c r="L175" s="239"/>
      <c r="M175" s="238"/>
      <c r="N175" s="239"/>
      <c r="O175" s="239"/>
      <c r="P175" s="239"/>
      <c r="Q175" s="239"/>
      <c r="R175" s="238"/>
      <c r="S175" s="239"/>
      <c r="T175" s="239"/>
      <c r="U175" s="239"/>
      <c r="V175" s="239"/>
      <c r="W175" s="238"/>
      <c r="X175" s="239"/>
      <c r="Y175" s="239"/>
      <c r="Z175" s="240"/>
      <c r="AA175" s="240"/>
      <c r="AB175" s="238"/>
      <c r="AC175" s="240"/>
      <c r="AD175" s="240"/>
      <c r="AE175" s="240"/>
      <c r="AF175" s="240"/>
      <c r="AG175" s="241"/>
      <c r="AH175" s="240"/>
      <c r="AI175" s="240"/>
      <c r="AJ175" s="240"/>
      <c r="AK175" s="240"/>
      <c r="AL175" s="241"/>
      <c r="AM175" s="240"/>
      <c r="AN175" s="240"/>
      <c r="AO175" s="240"/>
      <c r="AP175" s="240"/>
      <c r="AQ175" s="241"/>
      <c r="AR175" s="240"/>
      <c r="AS175" s="240"/>
      <c r="AT175" s="240"/>
      <c r="AU175" s="240"/>
      <c r="AV175" s="241"/>
      <c r="AW175" s="240"/>
      <c r="AX175" s="240"/>
      <c r="AY175" s="240"/>
      <c r="AZ175" s="240"/>
      <c r="BA175" s="241"/>
      <c r="BB175" s="240"/>
      <c r="BC175" s="240"/>
      <c r="BD175" s="240"/>
      <c r="BE175" s="240"/>
      <c r="BF175" s="241"/>
      <c r="BG175" s="240"/>
      <c r="BH175" s="240"/>
      <c r="BI175" s="240"/>
      <c r="BJ175" s="240"/>
      <c r="BK175" s="241"/>
      <c r="BL175" s="240"/>
      <c r="BM175" s="240"/>
      <c r="BN175" s="240"/>
      <c r="BO175" s="240"/>
      <c r="BP175" s="241"/>
      <c r="BQ175" s="240"/>
      <c r="BR175" s="240"/>
      <c r="BS175" s="240"/>
      <c r="BT175" s="217"/>
      <c r="BU175" s="216"/>
      <c r="BV175" s="217"/>
      <c r="BW175" s="217"/>
      <c r="BX175" s="217"/>
      <c r="BY175" s="239"/>
      <c r="BZ175" s="238"/>
      <c r="CA175" s="239"/>
      <c r="CB175" s="239"/>
      <c r="CC175" s="239"/>
      <c r="CD175" s="239"/>
      <c r="CE175" s="771" t="s">
        <v>208</v>
      </c>
      <c r="CF175" s="772" t="s">
        <v>208</v>
      </c>
      <c r="CG175" s="772" t="s">
        <v>208</v>
      </c>
      <c r="CH175" s="772" t="s">
        <v>208</v>
      </c>
      <c r="CI175" s="772" t="s">
        <v>208</v>
      </c>
      <c r="CJ175" s="771" t="s">
        <v>208</v>
      </c>
      <c r="CK175" s="772" t="s">
        <v>208</v>
      </c>
      <c r="CL175" s="772" t="s">
        <v>208</v>
      </c>
      <c r="CM175" s="772" t="s">
        <v>208</v>
      </c>
      <c r="CN175" s="772" t="s">
        <v>208</v>
      </c>
      <c r="CO175" s="298">
        <v>0.3</v>
      </c>
      <c r="CP175" s="772" t="s">
        <v>208</v>
      </c>
      <c r="CQ175" s="772" t="s">
        <v>208</v>
      </c>
      <c r="CR175" s="772" t="s">
        <v>208</v>
      </c>
      <c r="CS175" s="772" t="s">
        <v>208</v>
      </c>
      <c r="CT175" s="298">
        <v>0.12</v>
      </c>
      <c r="CU175" s="141">
        <v>0.04</v>
      </c>
      <c r="CV175" s="141">
        <v>0.02</v>
      </c>
      <c r="CW175" s="141">
        <v>0.02</v>
      </c>
      <c r="CX175" s="141">
        <v>0.08</v>
      </c>
      <c r="CY175" s="140">
        <v>0.04</v>
      </c>
      <c r="CZ175" s="141">
        <v>0.02</v>
      </c>
      <c r="DA175" s="141">
        <v>0.01</v>
      </c>
      <c r="DB175" s="141">
        <v>-0.02</v>
      </c>
      <c r="DC175" s="142">
        <v>-0.05</v>
      </c>
      <c r="DD175" s="140">
        <v>-0.01</v>
      </c>
      <c r="DE175" s="142">
        <v>-0.04</v>
      </c>
      <c r="DF175" s="142">
        <v>-0.08</v>
      </c>
      <c r="DG175" s="141">
        <f t="shared" ref="DG175:DH175" si="1020">DG174-DG176</f>
        <v>-0.159016008537887</v>
      </c>
      <c r="DH175" s="141">
        <f t="shared" si="1020"/>
        <v>-0.145921585623679</v>
      </c>
      <c r="DI175" s="140">
        <f>SUMPRODUCT(DE175:DH175,CZ173:DC173)/DD173</f>
        <v>-0.111439982855879</v>
      </c>
      <c r="DJ175" s="141">
        <f t="shared" ref="DJ175:DM175" si="1021">DJ174-DJ176</f>
        <v>-0.0853227100840337</v>
      </c>
      <c r="DK175" s="141">
        <f t="shared" si="1021"/>
        <v>-0.0774444160583942</v>
      </c>
      <c r="DL175" s="141">
        <f t="shared" si="1021"/>
        <v>-0.0486544421487604</v>
      </c>
      <c r="DM175" s="141">
        <f t="shared" si="1021"/>
        <v>-0.0486740473738415</v>
      </c>
      <c r="DN175" s="140">
        <f>SUMPRODUCT(DJ175:DM175,DE173:DH173)/DI173</f>
        <v>-0.0638402709700374</v>
      </c>
      <c r="DO175" s="141">
        <f t="shared" ref="DO175:DR175" si="1022">DO174-DO176</f>
        <v>-0.034074074074074</v>
      </c>
      <c r="DP175" s="141">
        <f t="shared" si="1022"/>
        <v>-0.0340923076923076</v>
      </c>
      <c r="DQ175" s="141">
        <f t="shared" si="1022"/>
        <v>-0.0341284403669725</v>
      </c>
      <c r="DR175" s="141">
        <f t="shared" si="1022"/>
        <v>-0.0341463414634146</v>
      </c>
      <c r="DS175" s="140">
        <f>SUMPRODUCT(DO175:DR175,DJ173:DM173)/DN173</f>
        <v>-0.034113835449931</v>
      </c>
    </row>
    <row r="176" s="93" customFormat="1" spans="2:123">
      <c r="B176" s="288" t="s">
        <v>372</v>
      </c>
      <c r="C176" s="297"/>
      <c r="D176" s="239"/>
      <c r="E176" s="239"/>
      <c r="F176" s="239"/>
      <c r="G176" s="239"/>
      <c r="H176" s="238"/>
      <c r="I176" s="239"/>
      <c r="J176" s="239"/>
      <c r="K176" s="239"/>
      <c r="L176" s="239"/>
      <c r="M176" s="238"/>
      <c r="N176" s="239"/>
      <c r="O176" s="239"/>
      <c r="P176" s="239"/>
      <c r="Q176" s="239"/>
      <c r="R176" s="238"/>
      <c r="S176" s="239"/>
      <c r="T176" s="239"/>
      <c r="U176" s="239"/>
      <c r="V176" s="239"/>
      <c r="W176" s="238"/>
      <c r="X176" s="239"/>
      <c r="Y176" s="239"/>
      <c r="Z176" s="240"/>
      <c r="AA176" s="240"/>
      <c r="AB176" s="238"/>
      <c r="AC176" s="240"/>
      <c r="AD176" s="240"/>
      <c r="AE176" s="240"/>
      <c r="AF176" s="240"/>
      <c r="AG176" s="241"/>
      <c r="AH176" s="240"/>
      <c r="AI176" s="240"/>
      <c r="AJ176" s="240"/>
      <c r="AK176" s="240"/>
      <c r="AL176" s="241"/>
      <c r="AM176" s="240"/>
      <c r="AN176" s="240"/>
      <c r="AO176" s="240"/>
      <c r="AP176" s="240"/>
      <c r="AQ176" s="241"/>
      <c r="AR176" s="240"/>
      <c r="AS176" s="240"/>
      <c r="AT176" s="240"/>
      <c r="AU176" s="240"/>
      <c r="AV176" s="241"/>
      <c r="AW176" s="240"/>
      <c r="AX176" s="240"/>
      <c r="AY176" s="240"/>
      <c r="AZ176" s="240"/>
      <c r="BA176" s="241"/>
      <c r="BB176" s="240"/>
      <c r="BC176" s="240"/>
      <c r="BD176" s="240"/>
      <c r="BE176" s="240"/>
      <c r="BF176" s="241"/>
      <c r="BG176" s="240"/>
      <c r="BH176" s="240"/>
      <c r="BI176" s="240"/>
      <c r="BJ176" s="240"/>
      <c r="BK176" s="241"/>
      <c r="BL176" s="240"/>
      <c r="BM176" s="240"/>
      <c r="BN176" s="240"/>
      <c r="BO176" s="240"/>
      <c r="BP176" s="241"/>
      <c r="BQ176" s="240"/>
      <c r="BR176" s="240"/>
      <c r="BS176" s="240"/>
      <c r="BT176" s="217"/>
      <c r="BU176" s="216"/>
      <c r="BV176" s="217"/>
      <c r="BW176" s="217"/>
      <c r="BX176" s="217"/>
      <c r="BY176" s="239"/>
      <c r="BZ176" s="238"/>
      <c r="CA176" s="239"/>
      <c r="CB176" s="239"/>
      <c r="CC176" s="239"/>
      <c r="CD176" s="239"/>
      <c r="CE176" s="238"/>
      <c r="CF176" s="239"/>
      <c r="CG176" s="239"/>
      <c r="CH176" s="239"/>
      <c r="CI176" s="239"/>
      <c r="CJ176" s="238"/>
      <c r="CK176" s="239"/>
      <c r="CL176" s="239"/>
      <c r="CM176" s="239"/>
      <c r="CN176" s="239"/>
      <c r="CO176" s="298">
        <f>(1+CO174)/(1+CO175)-1</f>
        <v>-0.0105116232975859</v>
      </c>
      <c r="CP176" s="239"/>
      <c r="CQ176" s="239"/>
      <c r="CR176" s="239"/>
      <c r="CS176" s="239"/>
      <c r="CT176" s="298">
        <f t="shared" ref="CT176:CY176" si="1023">(1+CT174)/(1+CT175)-1</f>
        <v>-0.000510962638796686</v>
      </c>
      <c r="CU176" s="141">
        <f t="shared" si="1023"/>
        <v>-0.00501918638877763</v>
      </c>
      <c r="CV176" s="141">
        <f t="shared" si="1023"/>
        <v>-0.00726011229274981</v>
      </c>
      <c r="CW176" s="141">
        <f t="shared" si="1023"/>
        <v>0.00188791920273523</v>
      </c>
      <c r="CX176" s="141">
        <f t="shared" si="1023"/>
        <v>-0.00943037420547832</v>
      </c>
      <c r="CY176" s="140">
        <f t="shared" si="1023"/>
        <v>-0.00110331058591628</v>
      </c>
      <c r="CZ176" s="141">
        <f t="shared" ref="CZ176:DC176" si="1024">(1+CZ174)/(1+CZ175)-1</f>
        <v>0.0119952914024872</v>
      </c>
      <c r="DA176" s="141">
        <f t="shared" si="1024"/>
        <v>-0.000358376755758449</v>
      </c>
      <c r="DB176" s="141">
        <f t="shared" si="1024"/>
        <v>-0.000917800306858729</v>
      </c>
      <c r="DC176" s="141">
        <f t="shared" si="1024"/>
        <v>0.00998874253983484</v>
      </c>
      <c r="DD176" s="140">
        <f t="shared" ref="DD176" si="1025">DD174-DD175</f>
        <v>-0.000230878403502674</v>
      </c>
      <c r="DE176" s="141">
        <f t="shared" ref="DE176:DF176" si="1026">(1+DE174)/(1+DE175)-1</f>
        <v>0.00848129277496912</v>
      </c>
      <c r="DF176" s="142">
        <f t="shared" si="1026"/>
        <v>-0.000486931041380534</v>
      </c>
      <c r="DG176" s="213">
        <v>0</v>
      </c>
      <c r="DH176" s="213">
        <v>-0.001</v>
      </c>
      <c r="DI176" s="140">
        <f t="shared" ref="DI176" si="1027">DI174-DI175</f>
        <v>0.00129549330932781</v>
      </c>
      <c r="DJ176" s="213">
        <v>-0.002</v>
      </c>
      <c r="DK176" s="213">
        <v>0.001</v>
      </c>
      <c r="DL176" s="213">
        <v>0</v>
      </c>
      <c r="DM176" s="213">
        <v>0</v>
      </c>
      <c r="DN176" s="140">
        <f t="shared" ref="DN176" si="1028">DN174-DN175</f>
        <v>-0.000232809625436869</v>
      </c>
      <c r="DO176" s="213">
        <v>0</v>
      </c>
      <c r="DP176" s="213">
        <v>0</v>
      </c>
      <c r="DQ176" s="213">
        <v>0</v>
      </c>
      <c r="DR176" s="213">
        <v>0</v>
      </c>
      <c r="DS176" s="140">
        <f t="shared" ref="DS176" si="1029">DS174-DS175</f>
        <v>0</v>
      </c>
    </row>
    <row r="177" s="3" customFormat="1" spans="2:123">
      <c r="B177" s="130"/>
      <c r="C177" s="284"/>
      <c r="D177" s="189"/>
      <c r="E177" s="189"/>
      <c r="F177" s="189"/>
      <c r="G177" s="189"/>
      <c r="H177" s="188"/>
      <c r="I177" s="189"/>
      <c r="J177" s="189"/>
      <c r="K177" s="189"/>
      <c r="L177" s="189"/>
      <c r="M177" s="188"/>
      <c r="N177" s="189"/>
      <c r="O177" s="189"/>
      <c r="P177" s="189"/>
      <c r="Q177" s="189"/>
      <c r="R177" s="188"/>
      <c r="S177" s="189"/>
      <c r="T177" s="189"/>
      <c r="U177" s="189"/>
      <c r="V177" s="189"/>
      <c r="W177" s="188"/>
      <c r="X177" s="189"/>
      <c r="Y177" s="189"/>
      <c r="Z177" s="195"/>
      <c r="AA177" s="195"/>
      <c r="AB177" s="188"/>
      <c r="AC177" s="195"/>
      <c r="AD177" s="195"/>
      <c r="AE177" s="195"/>
      <c r="AF177" s="195"/>
      <c r="AG177" s="194"/>
      <c r="AH177" s="195"/>
      <c r="AI177" s="195"/>
      <c r="AJ177" s="195"/>
      <c r="AK177" s="195"/>
      <c r="AL177" s="194"/>
      <c r="AM177" s="195"/>
      <c r="AN177" s="195"/>
      <c r="AO177" s="195"/>
      <c r="AP177" s="195"/>
      <c r="AQ177" s="194"/>
      <c r="AR177" s="195"/>
      <c r="AS177" s="195"/>
      <c r="AT177" s="195"/>
      <c r="AU177" s="195"/>
      <c r="AV177" s="194"/>
      <c r="AW177" s="195"/>
      <c r="AX177" s="195"/>
      <c r="AY177" s="195"/>
      <c r="AZ177" s="195"/>
      <c r="BA177" s="194"/>
      <c r="BB177" s="195"/>
      <c r="BC177" s="195"/>
      <c r="BD177" s="195"/>
      <c r="BE177" s="195"/>
      <c r="BF177" s="194"/>
      <c r="BG177" s="195"/>
      <c r="BH177" s="195"/>
      <c r="BI177" s="195"/>
      <c r="BJ177" s="195"/>
      <c r="BK177" s="194"/>
      <c r="BL177" s="195"/>
      <c r="BM177" s="195"/>
      <c r="BN177" s="195"/>
      <c r="BO177" s="195"/>
      <c r="BP177" s="194"/>
      <c r="BQ177" s="195"/>
      <c r="BR177" s="195"/>
      <c r="BS177" s="195"/>
      <c r="BT177" s="120"/>
      <c r="BU177" s="119"/>
      <c r="BV177" s="120"/>
      <c r="BW177" s="120"/>
      <c r="BX177" s="120"/>
      <c r="BY177" s="189"/>
      <c r="BZ177" s="188"/>
      <c r="CA177" s="189"/>
      <c r="CB177" s="189"/>
      <c r="CC177" s="189"/>
      <c r="CD177" s="189"/>
      <c r="CE177" s="188"/>
      <c r="CF177" s="189"/>
      <c r="CG177" s="189"/>
      <c r="CH177" s="189"/>
      <c r="CI177" s="189"/>
      <c r="CJ177" s="188"/>
      <c r="CK177" s="189"/>
      <c r="CL177" s="189"/>
      <c r="CM177" s="189"/>
      <c r="CN177" s="189"/>
      <c r="CO177" s="188"/>
      <c r="CP177" s="189"/>
      <c r="CQ177" s="189"/>
      <c r="CR177" s="189"/>
      <c r="CS177" s="189"/>
      <c r="CT177" s="188"/>
      <c r="CU177" s="189"/>
      <c r="CV177" s="189"/>
      <c r="CW177" s="189"/>
      <c r="CX177" s="189"/>
      <c r="CY177" s="188"/>
      <c r="CZ177" s="189"/>
      <c r="DA177" s="189"/>
      <c r="DB177" s="189"/>
      <c r="DC177" s="189"/>
      <c r="DD177" s="188"/>
      <c r="DE177" s="299"/>
      <c r="DF177" s="299"/>
      <c r="DG177" s="299"/>
      <c r="DH177" s="299"/>
      <c r="DI177" s="188"/>
      <c r="DJ177" s="299"/>
      <c r="DK177" s="299"/>
      <c r="DL177" s="299"/>
      <c r="DM177" s="299"/>
      <c r="DN177" s="188"/>
      <c r="DO177" s="189"/>
      <c r="DP177" s="189"/>
      <c r="DQ177" s="189"/>
      <c r="DR177" s="189"/>
      <c r="DS177" s="188"/>
    </row>
    <row r="178" s="92" customFormat="1" spans="2:123">
      <c r="B178" s="233" t="s">
        <v>373</v>
      </c>
      <c r="C178" s="243"/>
      <c r="D178" s="217"/>
      <c r="E178" s="217"/>
      <c r="F178" s="217"/>
      <c r="G178" s="217"/>
      <c r="H178" s="216"/>
      <c r="I178" s="217"/>
      <c r="J178" s="217"/>
      <c r="K178" s="217"/>
      <c r="L178" s="217"/>
      <c r="M178" s="216"/>
      <c r="N178" s="217"/>
      <c r="O178" s="217"/>
      <c r="P178" s="217"/>
      <c r="Q178" s="217"/>
      <c r="R178" s="216"/>
      <c r="S178" s="217"/>
      <c r="T178" s="217"/>
      <c r="U178" s="217"/>
      <c r="V178" s="217"/>
      <c r="W178" s="216"/>
      <c r="X178" s="217"/>
      <c r="Y178" s="217"/>
      <c r="Z178" s="234"/>
      <c r="AA178" s="234"/>
      <c r="AB178" s="216"/>
      <c r="AC178" s="234"/>
      <c r="AD178" s="234"/>
      <c r="AE178" s="234"/>
      <c r="AF178" s="234"/>
      <c r="AG178" s="300"/>
      <c r="AH178" s="234"/>
      <c r="AI178" s="234"/>
      <c r="AJ178" s="234"/>
      <c r="AK178" s="234"/>
      <c r="AL178" s="300"/>
      <c r="AM178" s="234"/>
      <c r="AN178" s="234"/>
      <c r="AO178" s="234"/>
      <c r="AP178" s="234"/>
      <c r="AQ178" s="300"/>
      <c r="AR178" s="234"/>
      <c r="AS178" s="234"/>
      <c r="AT178" s="234"/>
      <c r="AU178" s="234"/>
      <c r="AV178" s="300"/>
      <c r="AW178" s="234"/>
      <c r="AX178" s="234"/>
      <c r="AY178" s="234"/>
      <c r="AZ178" s="234"/>
      <c r="BA178" s="300"/>
      <c r="BB178" s="234"/>
      <c r="BC178" s="234"/>
      <c r="BD178" s="234"/>
      <c r="BE178" s="234"/>
      <c r="BF178" s="300"/>
      <c r="BG178" s="234"/>
      <c r="BH178" s="234"/>
      <c r="BI178" s="234"/>
      <c r="BJ178" s="234"/>
      <c r="BK178" s="300"/>
      <c r="BL178" s="234"/>
      <c r="BM178" s="234"/>
      <c r="BN178" s="234"/>
      <c r="BO178" s="234"/>
      <c r="BP178" s="300"/>
      <c r="BQ178" s="234"/>
      <c r="BR178" s="234"/>
      <c r="BS178" s="234"/>
      <c r="BT178" s="217"/>
      <c r="BU178" s="216"/>
      <c r="BV178" s="217"/>
      <c r="BW178" s="217"/>
      <c r="BX178" s="217"/>
      <c r="BY178" s="217"/>
      <c r="BZ178" s="216"/>
      <c r="CA178" s="217"/>
      <c r="CB178" s="217"/>
      <c r="CC178" s="217"/>
      <c r="CD178" s="217"/>
      <c r="CE178" s="768" t="s">
        <v>208</v>
      </c>
      <c r="CF178" s="766" t="s">
        <v>208</v>
      </c>
      <c r="CG178" s="766" t="s">
        <v>208</v>
      </c>
      <c r="CH178" s="766" t="s">
        <v>208</v>
      </c>
      <c r="CI178" s="766" t="s">
        <v>208</v>
      </c>
      <c r="CJ178" s="768" t="s">
        <v>208</v>
      </c>
      <c r="CK178" s="766" t="s">
        <v>208</v>
      </c>
      <c r="CL178" s="766" t="s">
        <v>208</v>
      </c>
      <c r="CM178" s="766" t="s">
        <v>208</v>
      </c>
      <c r="CN178" s="766" t="s">
        <v>208</v>
      </c>
      <c r="CO178" s="768" t="s">
        <v>208</v>
      </c>
      <c r="CP178" s="766" t="s">
        <v>208</v>
      </c>
      <c r="CQ178" s="766" t="s">
        <v>208</v>
      </c>
      <c r="CR178" s="766" t="s">
        <v>208</v>
      </c>
      <c r="CS178" s="290">
        <v>0.07</v>
      </c>
      <c r="CT178" s="289">
        <v>0.08</v>
      </c>
      <c r="CU178" s="301">
        <v>0</v>
      </c>
      <c r="CV178" s="301">
        <v>-0.03</v>
      </c>
      <c r="CW178" s="301">
        <v>-0.02</v>
      </c>
      <c r="CX178" s="290">
        <v>0</v>
      </c>
      <c r="CY178" s="289">
        <v>-0.01</v>
      </c>
      <c r="CZ178" s="301">
        <v>-0.02</v>
      </c>
      <c r="DA178" s="301">
        <v>-0.04</v>
      </c>
      <c r="DB178" s="301">
        <v>-0.05</v>
      </c>
      <c r="DC178" s="301">
        <v>-0.01</v>
      </c>
      <c r="DD178" s="302">
        <v>-0.03</v>
      </c>
      <c r="DE178" s="301">
        <v>-0.05</v>
      </c>
      <c r="DF178" s="301">
        <v>-0.12</v>
      </c>
      <c r="DG178" s="301">
        <f>DG179+DG176</f>
        <v>-0.17</v>
      </c>
      <c r="DH178" s="301">
        <f>DH179+DH176</f>
        <v>-0.156</v>
      </c>
      <c r="DI178" s="302">
        <f>SUMPRODUCT(DE178:DH178,CZ173:DC173)/DD173</f>
        <v>-0.128405964335105</v>
      </c>
      <c r="DJ178" s="301">
        <f>DJ179+DJ176</f>
        <v>-0.097</v>
      </c>
      <c r="DK178" s="301">
        <f>DK179+DK176</f>
        <v>-0.084</v>
      </c>
      <c r="DL178" s="301">
        <f>DL179+DL176</f>
        <v>-0.055</v>
      </c>
      <c r="DM178" s="301">
        <f>DM179+DM176</f>
        <v>-0.055</v>
      </c>
      <c r="DN178" s="302">
        <f>SUMPRODUCT(DJ178:DM178,DE173:DH173)/DI173</f>
        <v>-0.0714659266509342</v>
      </c>
      <c r="DO178" s="301">
        <f>DO179+DO176</f>
        <v>-0.04</v>
      </c>
      <c r="DP178" s="301">
        <f>DP179+DP176</f>
        <v>-0.04</v>
      </c>
      <c r="DQ178" s="301">
        <f>DQ179+DQ176</f>
        <v>-0.04</v>
      </c>
      <c r="DR178" s="301">
        <f>DR179+DR176</f>
        <v>-0.04</v>
      </c>
      <c r="DS178" s="302">
        <f>SUMPRODUCT(DO178:DR178,DJ173:DM173)/DN173</f>
        <v>-0.04</v>
      </c>
    </row>
    <row r="179" s="93" customFormat="1" spans="2:123">
      <c r="B179" s="237" t="s">
        <v>291</v>
      </c>
      <c r="C179" s="297"/>
      <c r="D179" s="239"/>
      <c r="E179" s="239"/>
      <c r="F179" s="239"/>
      <c r="G179" s="239"/>
      <c r="H179" s="238"/>
      <c r="I179" s="239"/>
      <c r="J179" s="239"/>
      <c r="K179" s="239"/>
      <c r="L179" s="239"/>
      <c r="M179" s="238"/>
      <c r="N179" s="239"/>
      <c r="O179" s="239"/>
      <c r="P179" s="239"/>
      <c r="Q179" s="239"/>
      <c r="R179" s="238"/>
      <c r="S179" s="239"/>
      <c r="T179" s="239"/>
      <c r="U179" s="239"/>
      <c r="V179" s="239"/>
      <c r="W179" s="238"/>
      <c r="X179" s="239"/>
      <c r="Y179" s="239"/>
      <c r="Z179" s="240"/>
      <c r="AA179" s="240"/>
      <c r="AB179" s="238"/>
      <c r="AC179" s="240"/>
      <c r="AD179" s="240"/>
      <c r="AE179" s="240"/>
      <c r="AF179" s="240"/>
      <c r="AG179" s="241"/>
      <c r="AH179" s="240"/>
      <c r="AI179" s="240"/>
      <c r="AJ179" s="240"/>
      <c r="AK179" s="240"/>
      <c r="AL179" s="241"/>
      <c r="AM179" s="240"/>
      <c r="AN179" s="240"/>
      <c r="AO179" s="240"/>
      <c r="AP179" s="240"/>
      <c r="AQ179" s="241"/>
      <c r="AR179" s="240"/>
      <c r="AS179" s="240"/>
      <c r="AT179" s="240"/>
      <c r="AU179" s="240"/>
      <c r="AV179" s="241"/>
      <c r="AW179" s="240"/>
      <c r="AX179" s="240"/>
      <c r="AY179" s="240"/>
      <c r="AZ179" s="240"/>
      <c r="BA179" s="241"/>
      <c r="BB179" s="240"/>
      <c r="BC179" s="240"/>
      <c r="BD179" s="240"/>
      <c r="BE179" s="240"/>
      <c r="BF179" s="241"/>
      <c r="BG179" s="240"/>
      <c r="BH179" s="240"/>
      <c r="BI179" s="240"/>
      <c r="BJ179" s="240"/>
      <c r="BK179" s="241"/>
      <c r="BL179" s="240"/>
      <c r="BM179" s="240"/>
      <c r="BN179" s="240"/>
      <c r="BO179" s="240"/>
      <c r="BP179" s="241"/>
      <c r="BQ179" s="240"/>
      <c r="BR179" s="240"/>
      <c r="BS179" s="240"/>
      <c r="BT179" s="217"/>
      <c r="BU179" s="216"/>
      <c r="BV179" s="217"/>
      <c r="BW179" s="217"/>
      <c r="BX179" s="217"/>
      <c r="BY179" s="239"/>
      <c r="BZ179" s="238"/>
      <c r="CA179" s="239"/>
      <c r="CB179" s="239"/>
      <c r="CC179" s="239"/>
      <c r="CD179" s="239"/>
      <c r="CE179" s="771" t="s">
        <v>208</v>
      </c>
      <c r="CF179" s="772" t="s">
        <v>208</v>
      </c>
      <c r="CG179" s="772" t="s">
        <v>208</v>
      </c>
      <c r="CH179" s="772" t="s">
        <v>208</v>
      </c>
      <c r="CI179" s="772" t="s">
        <v>208</v>
      </c>
      <c r="CJ179" s="771" t="s">
        <v>208</v>
      </c>
      <c r="CK179" s="772" t="s">
        <v>208</v>
      </c>
      <c r="CL179" s="772" t="s">
        <v>208</v>
      </c>
      <c r="CM179" s="772" t="s">
        <v>208</v>
      </c>
      <c r="CN179" s="772" t="s">
        <v>208</v>
      </c>
      <c r="CO179" s="771" t="s">
        <v>208</v>
      </c>
      <c r="CP179" s="772" t="s">
        <v>208</v>
      </c>
      <c r="CQ179" s="772" t="s">
        <v>208</v>
      </c>
      <c r="CR179" s="772" t="s">
        <v>208</v>
      </c>
      <c r="CS179" s="303">
        <v>0.07</v>
      </c>
      <c r="CT179" s="304">
        <v>0.09</v>
      </c>
      <c r="CU179" s="305">
        <v>0</v>
      </c>
      <c r="CV179" s="305">
        <v>-0.02</v>
      </c>
      <c r="CW179" s="305">
        <v>-0.02</v>
      </c>
      <c r="CX179" s="303">
        <v>0</v>
      </c>
      <c r="CY179" s="304">
        <v>-0.01</v>
      </c>
      <c r="CZ179" s="305">
        <v>-0.01</v>
      </c>
      <c r="DA179" s="305">
        <v>-0.03</v>
      </c>
      <c r="DB179" s="305">
        <v>-0.05</v>
      </c>
      <c r="DC179" s="305">
        <v>-0.02</v>
      </c>
      <c r="DD179" s="306">
        <v>-0.03</v>
      </c>
      <c r="DE179" s="305">
        <v>-0.06</v>
      </c>
      <c r="DF179" s="305">
        <v>-0.12</v>
      </c>
      <c r="DG179" s="307">
        <v>-0.17</v>
      </c>
      <c r="DH179" s="307">
        <v>-0.155</v>
      </c>
      <c r="DI179" s="306">
        <f>SUMPRODUCT(DE179:DH179,CZ173:DC173)/DD173</f>
        <v>-0.130198319902373</v>
      </c>
      <c r="DJ179" s="307">
        <v>-0.095</v>
      </c>
      <c r="DK179" s="307">
        <v>-0.085</v>
      </c>
      <c r="DL179" s="307">
        <v>-0.055</v>
      </c>
      <c r="DM179" s="307">
        <v>-0.055</v>
      </c>
      <c r="DN179" s="306">
        <f>SUMPRODUCT(DJ179:DM179,DE173:DH173)/DI173</f>
        <v>-0.0712331170254975</v>
      </c>
      <c r="DO179" s="307">
        <v>-0.04</v>
      </c>
      <c r="DP179" s="307">
        <v>-0.04</v>
      </c>
      <c r="DQ179" s="307">
        <v>-0.04</v>
      </c>
      <c r="DR179" s="307">
        <v>-0.04</v>
      </c>
      <c r="DS179" s="306">
        <f>SUMPRODUCT(DO179:DR179,DJ173:DM173)/DN173</f>
        <v>-0.04</v>
      </c>
    </row>
    <row r="180" s="3" customFormat="1" spans="2:123">
      <c r="B180" s="130"/>
      <c r="C180" s="284"/>
      <c r="D180" s="189"/>
      <c r="E180" s="189"/>
      <c r="F180" s="189"/>
      <c r="G180" s="189"/>
      <c r="H180" s="188"/>
      <c r="I180" s="189"/>
      <c r="J180" s="189"/>
      <c r="K180" s="189"/>
      <c r="L180" s="189"/>
      <c r="M180" s="188"/>
      <c r="N180" s="189"/>
      <c r="O180" s="189"/>
      <c r="P180" s="189"/>
      <c r="Q180" s="189"/>
      <c r="R180" s="188"/>
      <c r="S180" s="189"/>
      <c r="T180" s="189"/>
      <c r="U180" s="189"/>
      <c r="V180" s="189"/>
      <c r="W180" s="188"/>
      <c r="X180" s="189"/>
      <c r="Y180" s="189"/>
      <c r="Z180" s="195"/>
      <c r="AA180" s="195"/>
      <c r="AB180" s="188"/>
      <c r="AC180" s="195"/>
      <c r="AD180" s="195"/>
      <c r="AE180" s="195"/>
      <c r="AF180" s="195"/>
      <c r="AG180" s="194"/>
      <c r="AH180" s="195"/>
      <c r="AI180" s="195"/>
      <c r="AJ180" s="195"/>
      <c r="AK180" s="195"/>
      <c r="AL180" s="194"/>
      <c r="AM180" s="195"/>
      <c r="AN180" s="195"/>
      <c r="AO180" s="195"/>
      <c r="AP180" s="195"/>
      <c r="AQ180" s="194"/>
      <c r="AR180" s="195"/>
      <c r="AS180" s="195"/>
      <c r="AT180" s="195"/>
      <c r="AU180" s="195"/>
      <c r="AV180" s="194"/>
      <c r="AW180" s="195"/>
      <c r="AX180" s="195"/>
      <c r="AY180" s="195"/>
      <c r="AZ180" s="195"/>
      <c r="BA180" s="194"/>
      <c r="BB180" s="195"/>
      <c r="BC180" s="195"/>
      <c r="BD180" s="195"/>
      <c r="BE180" s="195"/>
      <c r="BF180" s="194"/>
      <c r="BG180" s="195"/>
      <c r="BH180" s="195"/>
      <c r="BI180" s="195"/>
      <c r="BJ180" s="195"/>
      <c r="BK180" s="194"/>
      <c r="BL180" s="195"/>
      <c r="BM180" s="195"/>
      <c r="BN180" s="195"/>
      <c r="BO180" s="195"/>
      <c r="BP180" s="194"/>
      <c r="BQ180" s="195"/>
      <c r="BR180" s="195"/>
      <c r="BS180" s="195"/>
      <c r="BT180" s="120"/>
      <c r="BU180" s="119"/>
      <c r="BV180" s="120"/>
      <c r="BW180" s="120"/>
      <c r="BX180" s="120"/>
      <c r="BY180" s="189"/>
      <c r="BZ180" s="188"/>
      <c r="CA180" s="189"/>
      <c r="CB180" s="189"/>
      <c r="CC180" s="189"/>
      <c r="CD180" s="189"/>
      <c r="CE180" s="188"/>
      <c r="CF180" s="189"/>
      <c r="CG180" s="189"/>
      <c r="CH180" s="189"/>
      <c r="CI180" s="189"/>
      <c r="CJ180" s="188"/>
      <c r="CK180" s="189"/>
      <c r="CL180" s="189"/>
      <c r="CM180" s="189"/>
      <c r="CN180" s="189"/>
      <c r="CO180" s="188"/>
      <c r="CP180" s="189"/>
      <c r="CQ180" s="189"/>
      <c r="CR180" s="189"/>
      <c r="CS180" s="189"/>
      <c r="CT180" s="188"/>
      <c r="CU180" s="189"/>
      <c r="CV180" s="189"/>
      <c r="CW180" s="189"/>
      <c r="CX180" s="189"/>
      <c r="CY180" s="188"/>
      <c r="CZ180" s="189"/>
      <c r="DA180" s="189"/>
      <c r="DB180" s="189"/>
      <c r="DC180" s="189"/>
      <c r="DD180" s="188"/>
      <c r="DE180" s="308"/>
      <c r="DF180" s="189"/>
      <c r="DG180" s="189"/>
      <c r="DH180" s="189"/>
      <c r="DI180" s="188"/>
      <c r="DJ180" s="189"/>
      <c r="DK180" s="189"/>
      <c r="DL180" s="189"/>
      <c r="DM180" s="189"/>
      <c r="DN180" s="188"/>
      <c r="DO180" s="189"/>
      <c r="DP180" s="189"/>
      <c r="DQ180" s="189"/>
      <c r="DR180" s="189"/>
      <c r="DS180" s="188"/>
    </row>
    <row r="181" s="87" customFormat="1" spans="2:123">
      <c r="B181" s="309" t="s">
        <v>374</v>
      </c>
      <c r="C181" s="310"/>
      <c r="D181" s="141"/>
      <c r="E181" s="141"/>
      <c r="F181" s="141"/>
      <c r="G181" s="141"/>
      <c r="H181" s="140"/>
      <c r="I181" s="141"/>
      <c r="J181" s="141"/>
      <c r="K181" s="141"/>
      <c r="L181" s="141"/>
      <c r="M181" s="140"/>
      <c r="N181" s="141"/>
      <c r="O181" s="141"/>
      <c r="P181" s="141"/>
      <c r="Q181" s="141"/>
      <c r="R181" s="140"/>
      <c r="S181" s="141"/>
      <c r="T181" s="141"/>
      <c r="U181" s="141"/>
      <c r="V181" s="141"/>
      <c r="W181" s="140"/>
      <c r="X181" s="141"/>
      <c r="Y181" s="141"/>
      <c r="Z181" s="141"/>
      <c r="AA181" s="141"/>
      <c r="AB181" s="140"/>
      <c r="AC181" s="141"/>
      <c r="AD181" s="141"/>
      <c r="AE181" s="141"/>
      <c r="AF181" s="141"/>
      <c r="AG181" s="140"/>
      <c r="AH181" s="141"/>
      <c r="AI181" s="141"/>
      <c r="AJ181" s="141"/>
      <c r="AK181" s="141"/>
      <c r="AL181" s="140"/>
      <c r="AM181" s="141"/>
      <c r="AN181" s="141"/>
      <c r="AO181" s="141"/>
      <c r="AP181" s="141"/>
      <c r="AQ181" s="140"/>
      <c r="AR181" s="141"/>
      <c r="AS181" s="141"/>
      <c r="AT181" s="141"/>
      <c r="AU181" s="141"/>
      <c r="AV181" s="140"/>
      <c r="AW181" s="141"/>
      <c r="AX181" s="141"/>
      <c r="AY181" s="141"/>
      <c r="AZ181" s="141"/>
      <c r="BA181" s="140"/>
      <c r="BB181" s="141"/>
      <c r="BC181" s="141"/>
      <c r="BD181" s="141"/>
      <c r="BE181" s="141"/>
      <c r="BF181" s="140"/>
      <c r="BG181" s="141"/>
      <c r="BH181" s="141"/>
      <c r="BI181" s="141"/>
      <c r="BJ181" s="141"/>
      <c r="BK181" s="140"/>
      <c r="BL181" s="141"/>
      <c r="BM181" s="141"/>
      <c r="BN181" s="141"/>
      <c r="BO181" s="141"/>
      <c r="BP181" s="140"/>
      <c r="BQ181" s="141"/>
      <c r="BR181" s="141"/>
      <c r="BS181" s="141"/>
      <c r="BT181" s="141"/>
      <c r="BU181" s="140"/>
      <c r="BV181" s="141"/>
      <c r="BW181" s="141"/>
      <c r="BX181" s="141"/>
      <c r="BY181" s="141"/>
      <c r="BZ181" s="140"/>
      <c r="CA181" s="141"/>
      <c r="CB181" s="141"/>
      <c r="CC181" s="141"/>
      <c r="CD181" s="141"/>
      <c r="CE181" s="140"/>
      <c r="CF181" s="141"/>
      <c r="CG181" s="141"/>
      <c r="CH181" s="141"/>
      <c r="CI181" s="141"/>
      <c r="CJ181" s="140"/>
      <c r="CK181" s="141"/>
      <c r="CL181" s="141"/>
      <c r="CM181" s="141"/>
      <c r="CN181" s="141"/>
      <c r="CO181" s="140"/>
      <c r="CP181" s="141"/>
      <c r="CQ181" s="141"/>
      <c r="CR181" s="141"/>
      <c r="CS181" s="311"/>
      <c r="CT181" s="140"/>
      <c r="CU181" s="141">
        <f>((1+CU175)/(1+CU182)/(1+CU179)-1)/CU191</f>
        <v>1.02424242424242</v>
      </c>
      <c r="CV181" s="141">
        <f>((1+CV175)/(1+CV182)/(1+CV179)-1)/CV191</f>
        <v>1.19915552427868</v>
      </c>
      <c r="CW181" s="141">
        <f>((1+CW175)/(1+CW182)/(1+CW179)-1)/CW191</f>
        <v>0.813478879924063</v>
      </c>
      <c r="CX181" s="141">
        <f>((1+CX175)/(1+CX182)/(1+CX179)-1)/CX191</f>
        <v>0.477472527472529</v>
      </c>
      <c r="CY181" s="140"/>
      <c r="CZ181" s="141">
        <f>((1+CZ175)/(1+CZ182)/(1+CZ179)-1)/CZ191</f>
        <v>0.578392621870882</v>
      </c>
      <c r="DA181" s="141">
        <f>((1+DA175)/(1+DA182)/(1+DA179)-1)/DA191</f>
        <v>0.756872852233678</v>
      </c>
      <c r="DB181" s="141">
        <f>((1+DB175)/(1+DB182)/(1+DB179)-1)/DB191</f>
        <v>0.768136557610244</v>
      </c>
      <c r="DC181" s="141">
        <f>((1+DC175)/(1+DC182)/(1+DC179)-1)/DC191</f>
        <v>0.360255102040816</v>
      </c>
      <c r="DD181" s="140"/>
      <c r="DE181" s="141">
        <f>((1+DE175)/(1+DE182)/(1+DE179)-1)/DE191</f>
        <v>0.702127659574466</v>
      </c>
      <c r="DF181" s="141">
        <f>((1+DF175)/(1+DF182)/(1+DF179)-1)/DF191</f>
        <v>1.40757575757576</v>
      </c>
      <c r="DG181" s="213">
        <v>0.4</v>
      </c>
      <c r="DH181" s="213">
        <v>0.4</v>
      </c>
      <c r="DI181" s="140"/>
      <c r="DJ181" s="213">
        <v>0.5</v>
      </c>
      <c r="DK181" s="213">
        <v>0.5</v>
      </c>
      <c r="DL181" s="213">
        <v>0.5</v>
      </c>
      <c r="DM181" s="213">
        <v>0.5</v>
      </c>
      <c r="DN181" s="140"/>
      <c r="DO181" s="213">
        <v>0.5</v>
      </c>
      <c r="DP181" s="213">
        <v>0.5</v>
      </c>
      <c r="DQ181" s="213">
        <v>0.5</v>
      </c>
      <c r="DR181" s="213">
        <v>0.5</v>
      </c>
      <c r="DS181" s="140"/>
    </row>
    <row r="182" s="87" customFormat="1" spans="2:123">
      <c r="B182" s="309" t="s">
        <v>375</v>
      </c>
      <c r="C182" s="310"/>
      <c r="D182" s="141"/>
      <c r="E182" s="141"/>
      <c r="F182" s="141"/>
      <c r="G182" s="141"/>
      <c r="H182" s="140"/>
      <c r="I182" s="141"/>
      <c r="J182" s="141"/>
      <c r="K182" s="141"/>
      <c r="L182" s="141"/>
      <c r="M182" s="140"/>
      <c r="N182" s="141"/>
      <c r="O182" s="141"/>
      <c r="P182" s="141"/>
      <c r="Q182" s="141"/>
      <c r="R182" s="140"/>
      <c r="S182" s="141"/>
      <c r="T182" s="141"/>
      <c r="U182" s="141"/>
      <c r="V182" s="141"/>
      <c r="W182" s="140"/>
      <c r="X182" s="141"/>
      <c r="Y182" s="141"/>
      <c r="Z182" s="141"/>
      <c r="AA182" s="141"/>
      <c r="AB182" s="140"/>
      <c r="AC182" s="141"/>
      <c r="AD182" s="141"/>
      <c r="AE182" s="141"/>
      <c r="AF182" s="141"/>
      <c r="AG182" s="140"/>
      <c r="AH182" s="141"/>
      <c r="AI182" s="141"/>
      <c r="AJ182" s="141"/>
      <c r="AK182" s="141"/>
      <c r="AL182" s="140"/>
      <c r="AM182" s="141"/>
      <c r="AN182" s="141"/>
      <c r="AO182" s="141"/>
      <c r="AP182" s="141"/>
      <c r="AQ182" s="140"/>
      <c r="AR182" s="141"/>
      <c r="AS182" s="141"/>
      <c r="AT182" s="141"/>
      <c r="AU182" s="141"/>
      <c r="AV182" s="140"/>
      <c r="AW182" s="141"/>
      <c r="AX182" s="141"/>
      <c r="AY182" s="141"/>
      <c r="AZ182" s="141"/>
      <c r="BA182" s="140"/>
      <c r="BB182" s="141"/>
      <c r="BC182" s="141"/>
      <c r="BD182" s="141"/>
      <c r="BE182" s="141"/>
      <c r="BF182" s="140"/>
      <c r="BG182" s="141"/>
      <c r="BH182" s="141"/>
      <c r="BI182" s="141"/>
      <c r="BJ182" s="141"/>
      <c r="BK182" s="140"/>
      <c r="BL182" s="141"/>
      <c r="BM182" s="141"/>
      <c r="BN182" s="141"/>
      <c r="BO182" s="141"/>
      <c r="BP182" s="140"/>
      <c r="BQ182" s="141"/>
      <c r="BR182" s="141"/>
      <c r="BS182" s="141"/>
      <c r="BT182" s="141"/>
      <c r="BU182" s="140"/>
      <c r="BV182" s="141"/>
      <c r="BW182" s="141"/>
      <c r="BX182" s="141"/>
      <c r="BY182" s="141"/>
      <c r="BZ182" s="140"/>
      <c r="CA182" s="141"/>
      <c r="CB182" s="141"/>
      <c r="CC182" s="141"/>
      <c r="CD182" s="141"/>
      <c r="CE182" s="140"/>
      <c r="CF182" s="141"/>
      <c r="CG182" s="141"/>
      <c r="CH182" s="141"/>
      <c r="CI182" s="141"/>
      <c r="CJ182" s="140"/>
      <c r="CK182" s="141"/>
      <c r="CL182" s="141"/>
      <c r="CM182" s="141"/>
      <c r="CN182" s="141"/>
      <c r="CO182" s="140"/>
      <c r="CP182" s="141"/>
      <c r="CQ182" s="141"/>
      <c r="CR182" s="141"/>
      <c r="CS182" s="311"/>
      <c r="CT182" s="140"/>
      <c r="CU182" s="311">
        <v>0</v>
      </c>
      <c r="CV182" s="311">
        <v>0</v>
      </c>
      <c r="CW182" s="311">
        <v>0</v>
      </c>
      <c r="CX182" s="311">
        <v>0.05</v>
      </c>
      <c r="CY182" s="140">
        <f>SUMPRODUCT(CU182:CX182,CP173:CS173)/CT173</f>
        <v>0.0171112343115451</v>
      </c>
      <c r="CZ182" s="311">
        <v>0</v>
      </c>
      <c r="DA182" s="311">
        <v>0</v>
      </c>
      <c r="DB182" s="311">
        <v>0</v>
      </c>
      <c r="DC182" s="142">
        <v>-0.04</v>
      </c>
      <c r="DD182" s="140">
        <f>SUMPRODUCT(CZ182:DC182,CU173:CX173)/CY173</f>
        <v>-0.0140969829554312</v>
      </c>
      <c r="DE182" s="311">
        <v>0</v>
      </c>
      <c r="DF182" s="311">
        <v>0</v>
      </c>
      <c r="DG182" s="213">
        <v>0</v>
      </c>
      <c r="DH182" s="213">
        <v>0</v>
      </c>
      <c r="DI182" s="140">
        <f>SUMPRODUCT(DE182:DH182,CZ173:DC173)/DD173</f>
        <v>0</v>
      </c>
      <c r="DJ182" s="213">
        <v>0</v>
      </c>
      <c r="DK182" s="213">
        <v>0</v>
      </c>
      <c r="DL182" s="213">
        <v>0</v>
      </c>
      <c r="DM182" s="213">
        <v>0</v>
      </c>
      <c r="DN182" s="140">
        <f>SUMPRODUCT(DJ182:DM182,DE173:DH173)/DI173</f>
        <v>0</v>
      </c>
      <c r="DO182" s="213">
        <v>0</v>
      </c>
      <c r="DP182" s="213">
        <v>0</v>
      </c>
      <c r="DQ182" s="213">
        <v>0</v>
      </c>
      <c r="DR182" s="213">
        <v>0</v>
      </c>
      <c r="DS182" s="140">
        <f>SUMPRODUCT(DO182:DR182,DJ173:DM173)/DN173</f>
        <v>0</v>
      </c>
    </row>
    <row r="183" s="3" customFormat="1" spans="2:123">
      <c r="B183" s="130"/>
      <c r="C183" s="284"/>
      <c r="D183" s="189"/>
      <c r="E183" s="189"/>
      <c r="F183" s="189"/>
      <c r="G183" s="189"/>
      <c r="H183" s="188"/>
      <c r="I183" s="189"/>
      <c r="J183" s="189"/>
      <c r="K183" s="189"/>
      <c r="L183" s="189"/>
      <c r="M183" s="188"/>
      <c r="N183" s="189"/>
      <c r="O183" s="189"/>
      <c r="P183" s="189"/>
      <c r="Q183" s="189"/>
      <c r="R183" s="188"/>
      <c r="S183" s="189"/>
      <c r="T183" s="189"/>
      <c r="U183" s="189"/>
      <c r="V183" s="189"/>
      <c r="W183" s="188"/>
      <c r="X183" s="189"/>
      <c r="Y183" s="189"/>
      <c r="Z183" s="195"/>
      <c r="AA183" s="195"/>
      <c r="AB183" s="188"/>
      <c r="AC183" s="195"/>
      <c r="AD183" s="195"/>
      <c r="AE183" s="195"/>
      <c r="AF183" s="195"/>
      <c r="AG183" s="194"/>
      <c r="AH183" s="195"/>
      <c r="AI183" s="195"/>
      <c r="AJ183" s="195"/>
      <c r="AK183" s="195"/>
      <c r="AL183" s="194"/>
      <c r="AM183" s="195"/>
      <c r="AN183" s="195"/>
      <c r="AO183" s="195"/>
      <c r="AP183" s="195"/>
      <c r="AQ183" s="194"/>
      <c r="AR183" s="195"/>
      <c r="AS183" s="195"/>
      <c r="AT183" s="195"/>
      <c r="AU183" s="195"/>
      <c r="AV183" s="194"/>
      <c r="AW183" s="195"/>
      <c r="AX183" s="195"/>
      <c r="AY183" s="195"/>
      <c r="AZ183" s="195"/>
      <c r="BA183" s="194"/>
      <c r="BB183" s="195"/>
      <c r="BC183" s="195"/>
      <c r="BD183" s="195"/>
      <c r="BE183" s="195"/>
      <c r="BF183" s="194"/>
      <c r="BG183" s="195"/>
      <c r="BH183" s="195"/>
      <c r="BI183" s="195"/>
      <c r="BJ183" s="195"/>
      <c r="BK183" s="194"/>
      <c r="BL183" s="195"/>
      <c r="BM183" s="195"/>
      <c r="BN183" s="195"/>
      <c r="BO183" s="195"/>
      <c r="BP183" s="194"/>
      <c r="BQ183" s="195"/>
      <c r="BR183" s="195"/>
      <c r="BS183" s="195"/>
      <c r="BT183" s="120"/>
      <c r="BU183" s="119"/>
      <c r="BV183" s="120"/>
      <c r="BW183" s="120"/>
      <c r="BX183" s="120"/>
      <c r="BY183" s="189"/>
      <c r="BZ183" s="188"/>
      <c r="CA183" s="189"/>
      <c r="CB183" s="189"/>
      <c r="CC183" s="189"/>
      <c r="CD183" s="189"/>
      <c r="CE183" s="188"/>
      <c r="CF183" s="189"/>
      <c r="CG183" s="189"/>
      <c r="CH183" s="189"/>
      <c r="CI183" s="189"/>
      <c r="CJ183" s="188"/>
      <c r="CK183" s="189"/>
      <c r="CL183" s="189"/>
      <c r="CM183" s="189"/>
      <c r="CN183" s="189"/>
      <c r="CO183" s="188"/>
      <c r="CP183" s="189"/>
      <c r="CQ183" s="189"/>
      <c r="CR183" s="189"/>
      <c r="CS183" s="189"/>
      <c r="CT183" s="188"/>
      <c r="CU183" s="189"/>
      <c r="CV183" s="189"/>
      <c r="CW183" s="189"/>
      <c r="CX183" s="189"/>
      <c r="CY183" s="188"/>
      <c r="CZ183" s="189"/>
      <c r="DA183" s="189"/>
      <c r="DB183" s="189"/>
      <c r="DC183" s="189"/>
      <c r="DD183" s="188"/>
      <c r="DE183" s="308"/>
      <c r="DF183" s="189"/>
      <c r="DG183" s="189"/>
      <c r="DH183" s="189"/>
      <c r="DI183" s="188"/>
      <c r="DJ183" s="189"/>
      <c r="DK183" s="189"/>
      <c r="DL183" s="189"/>
      <c r="DM183" s="189"/>
      <c r="DN183" s="188"/>
      <c r="DO183" s="189"/>
      <c r="DP183" s="189"/>
      <c r="DQ183" s="189"/>
      <c r="DR183" s="189"/>
      <c r="DS183" s="188"/>
    </row>
    <row r="184" s="3" customFormat="1" hidden="1" outlineLevel="1" spans="2:123">
      <c r="B184" s="312" t="s">
        <v>301</v>
      </c>
      <c r="C184" s="284"/>
      <c r="D184" s="189"/>
      <c r="E184" s="189"/>
      <c r="F184" s="189"/>
      <c r="G184" s="189"/>
      <c r="H184" s="188"/>
      <c r="I184" s="189"/>
      <c r="J184" s="189"/>
      <c r="K184" s="189"/>
      <c r="L184" s="189"/>
      <c r="M184" s="188"/>
      <c r="N184" s="189"/>
      <c r="O184" s="189"/>
      <c r="P184" s="189"/>
      <c r="Q184" s="189"/>
      <c r="R184" s="188"/>
      <c r="S184" s="189"/>
      <c r="T184" s="189"/>
      <c r="U184" s="189"/>
      <c r="V184" s="189"/>
      <c r="W184" s="188"/>
      <c r="X184" s="189"/>
      <c r="Y184" s="189"/>
      <c r="Z184" s="195"/>
      <c r="AA184" s="195"/>
      <c r="AB184" s="188"/>
      <c r="AC184" s="195"/>
      <c r="AD184" s="195"/>
      <c r="AE184" s="195"/>
      <c r="AF184" s="195"/>
      <c r="AG184" s="194"/>
      <c r="AH184" s="195"/>
      <c r="AI184" s="195"/>
      <c r="AJ184" s="195"/>
      <c r="AK184" s="195"/>
      <c r="AL184" s="194"/>
      <c r="AM184" s="195"/>
      <c r="AN184" s="195"/>
      <c r="AO184" s="195"/>
      <c r="AP184" s="195"/>
      <c r="AQ184" s="194"/>
      <c r="AR184" s="195"/>
      <c r="AS184" s="195"/>
      <c r="AT184" s="195"/>
      <c r="AU184" s="195"/>
      <c r="AV184" s="194"/>
      <c r="AW184" s="195"/>
      <c r="AX184" s="195"/>
      <c r="AY184" s="195"/>
      <c r="AZ184" s="195"/>
      <c r="BA184" s="194"/>
      <c r="BB184" s="195"/>
      <c r="BC184" s="195"/>
      <c r="BD184" s="195"/>
      <c r="BE184" s="195"/>
      <c r="BF184" s="194"/>
      <c r="BG184" s="195"/>
      <c r="BH184" s="195"/>
      <c r="BI184" s="195"/>
      <c r="BJ184" s="195"/>
      <c r="BK184" s="194"/>
      <c r="BL184" s="195"/>
      <c r="BM184" s="195"/>
      <c r="BN184" s="195"/>
      <c r="BO184" s="195"/>
      <c r="BP184" s="194"/>
      <c r="BQ184" s="195"/>
      <c r="BR184" s="195"/>
      <c r="BS184" s="195"/>
      <c r="BT184" s="120"/>
      <c r="BU184" s="119"/>
      <c r="BV184" s="120"/>
      <c r="BW184" s="120"/>
      <c r="BX184" s="120"/>
      <c r="BY184" s="189"/>
      <c r="BZ184" s="188"/>
      <c r="CA184" s="189"/>
      <c r="CB184" s="189"/>
      <c r="CC184" s="189"/>
      <c r="CD184" s="189"/>
      <c r="CE184" s="188"/>
      <c r="CF184" s="189"/>
      <c r="CG184" s="189"/>
      <c r="CH184" s="189"/>
      <c r="CI184" s="189"/>
      <c r="CJ184" s="188"/>
      <c r="CK184" s="189"/>
      <c r="CL184" s="189"/>
      <c r="CM184" s="189"/>
      <c r="CN184" s="189"/>
      <c r="CO184" s="188"/>
      <c r="CP184" s="189"/>
      <c r="CQ184" s="189"/>
      <c r="CR184" s="189"/>
      <c r="CS184" s="189"/>
      <c r="CT184" s="188"/>
      <c r="CU184" s="189"/>
      <c r="CV184" s="189"/>
      <c r="CW184" s="189"/>
      <c r="CX184" s="189"/>
      <c r="CY184" s="188"/>
      <c r="CZ184" s="189"/>
      <c r="DA184" s="189"/>
      <c r="DB184" s="189"/>
      <c r="DC184" s="189"/>
      <c r="DD184" s="188"/>
      <c r="DE184" s="308"/>
      <c r="DF184" s="189"/>
      <c r="DG184" s="189"/>
      <c r="DH184" s="189"/>
      <c r="DI184" s="188"/>
      <c r="DJ184" s="189"/>
      <c r="DK184" s="189"/>
      <c r="DL184" s="189"/>
      <c r="DM184" s="189"/>
      <c r="DN184" s="188"/>
      <c r="DO184" s="189"/>
      <c r="DP184" s="189"/>
      <c r="DQ184" s="189"/>
      <c r="DR184" s="189"/>
      <c r="DS184" s="188"/>
    </row>
    <row r="185" s="92" customFormat="1" hidden="1" outlineLevel="1" spans="2:123">
      <c r="B185" s="287" t="s">
        <v>376</v>
      </c>
      <c r="C185" s="216"/>
      <c r="D185" s="217"/>
      <c r="E185" s="217"/>
      <c r="F185" s="217"/>
      <c r="G185" s="217"/>
      <c r="H185" s="216"/>
      <c r="I185" s="217"/>
      <c r="J185" s="217"/>
      <c r="K185" s="217"/>
      <c r="L185" s="217"/>
      <c r="M185" s="216"/>
      <c r="N185" s="217"/>
      <c r="O185" s="217"/>
      <c r="P185" s="217"/>
      <c r="Q185" s="313">
        <v>30</v>
      </c>
      <c r="R185" s="216">
        <f>Q185</f>
        <v>30</v>
      </c>
      <c r="S185" s="313">
        <v>32</v>
      </c>
      <c r="T185" s="313">
        <v>39</v>
      </c>
      <c r="U185" s="313">
        <v>56</v>
      </c>
      <c r="V185" s="313">
        <v>61</v>
      </c>
      <c r="W185" s="216">
        <f>V185</f>
        <v>61</v>
      </c>
      <c r="X185" s="313">
        <v>61</v>
      </c>
      <c r="Y185" s="313">
        <v>62</v>
      </c>
      <c r="Z185" s="313">
        <v>65</v>
      </c>
      <c r="AA185" s="313">
        <v>66</v>
      </c>
      <c r="AB185" s="216">
        <f>AA185</f>
        <v>66</v>
      </c>
      <c r="AC185" s="313">
        <v>70</v>
      </c>
      <c r="AD185" s="313">
        <v>71</v>
      </c>
      <c r="AE185" s="313">
        <v>74</v>
      </c>
      <c r="AF185" s="313">
        <v>78</v>
      </c>
      <c r="AG185" s="216">
        <f>AF185</f>
        <v>78</v>
      </c>
      <c r="AH185" s="313">
        <v>81</v>
      </c>
      <c r="AI185" s="313">
        <v>89</v>
      </c>
      <c r="AJ185" s="314">
        <v>106</v>
      </c>
      <c r="AK185" s="314">
        <v>108</v>
      </c>
      <c r="AL185" s="216">
        <f>AK185</f>
        <v>108</v>
      </c>
      <c r="AM185" s="314">
        <v>112</v>
      </c>
      <c r="AN185" s="314">
        <v>119</v>
      </c>
      <c r="AO185" s="314">
        <v>127</v>
      </c>
      <c r="AP185" s="314">
        <v>135</v>
      </c>
      <c r="AQ185" s="216">
        <f>AP185</f>
        <v>135</v>
      </c>
      <c r="AR185" s="314">
        <v>141</v>
      </c>
      <c r="AS185" s="314">
        <v>147</v>
      </c>
      <c r="AT185" s="314">
        <v>164</v>
      </c>
      <c r="AU185" s="314">
        <v>168</v>
      </c>
      <c r="AV185" s="216">
        <f>AU185</f>
        <v>168</v>
      </c>
      <c r="AW185" s="314">
        <v>171</v>
      </c>
      <c r="AX185" s="314">
        <v>176</v>
      </c>
      <c r="AY185" s="314">
        <v>191</v>
      </c>
      <c r="AZ185" s="314">
        <v>200</v>
      </c>
      <c r="BA185" s="216">
        <f>AZ185</f>
        <v>200</v>
      </c>
      <c r="BB185" s="314">
        <v>206</v>
      </c>
      <c r="BC185" s="314">
        <v>215</v>
      </c>
      <c r="BD185" s="314">
        <v>223</v>
      </c>
      <c r="BE185" s="314">
        <v>229</v>
      </c>
      <c r="BF185" s="216">
        <f>BE185</f>
        <v>229</v>
      </c>
      <c r="BG185" s="314">
        <v>231</v>
      </c>
      <c r="BH185" s="314">
        <v>231</v>
      </c>
      <c r="BI185" s="314">
        <v>237</v>
      </c>
      <c r="BJ185" s="314">
        <v>245</v>
      </c>
      <c r="BK185" s="216">
        <f>BJ185</f>
        <v>245</v>
      </c>
      <c r="BL185" s="314">
        <v>247</v>
      </c>
      <c r="BM185" s="314">
        <v>252</v>
      </c>
      <c r="BN185" s="314">
        <v>263</v>
      </c>
      <c r="BO185" s="217">
        <f>270-BO420</f>
        <v>269</v>
      </c>
      <c r="BP185" s="216">
        <f>BO185</f>
        <v>269</v>
      </c>
      <c r="BQ185" s="313">
        <f>274-BQ420-BQ442</f>
        <v>269</v>
      </c>
      <c r="BR185" s="313">
        <f>275-BR420-BR442</f>
        <v>270</v>
      </c>
      <c r="BS185" s="313">
        <f>282-BS420-BS442</f>
        <v>277</v>
      </c>
      <c r="BT185" s="313">
        <f>285-BT420-BT442</f>
        <v>280</v>
      </c>
      <c r="BU185" s="216">
        <f>BT185</f>
        <v>280</v>
      </c>
      <c r="BV185" s="313">
        <f>291-BV420-BV442</f>
        <v>286</v>
      </c>
      <c r="BW185" s="313">
        <f>292-BW420-BW442</f>
        <v>287</v>
      </c>
      <c r="BX185" s="313">
        <f>301-BX420-BX442</f>
        <v>297</v>
      </c>
      <c r="BY185" s="313">
        <f>305-BY420-BY442</f>
        <v>301</v>
      </c>
      <c r="BZ185" s="216">
        <f>BY185</f>
        <v>301</v>
      </c>
      <c r="CA185" s="313">
        <f>301-CA420-CA442</f>
        <v>301</v>
      </c>
      <c r="CB185" s="313">
        <f>309-CB420-CB442</f>
        <v>309</v>
      </c>
      <c r="CC185" s="313">
        <f>314-CC420-CC442</f>
        <v>314</v>
      </c>
      <c r="CD185" s="313">
        <v>315</v>
      </c>
      <c r="CE185" s="216">
        <f>CD185</f>
        <v>315</v>
      </c>
      <c r="CF185" s="313">
        <v>315</v>
      </c>
      <c r="CG185" s="217">
        <v>318</v>
      </c>
      <c r="CH185" s="217">
        <v>322</v>
      </c>
      <c r="CI185" s="217">
        <v>324</v>
      </c>
      <c r="CJ185" s="216">
        <f>CI185</f>
        <v>324</v>
      </c>
      <c r="CK185" s="236">
        <v>325</v>
      </c>
      <c r="CL185" s="217">
        <v>331</v>
      </c>
      <c r="CM185" s="217">
        <v>337</v>
      </c>
      <c r="CN185" s="217">
        <v>350</v>
      </c>
      <c r="CO185" s="216">
        <f>CN185</f>
        <v>350</v>
      </c>
      <c r="CP185" s="236">
        <v>357</v>
      </c>
      <c r="CQ185" s="217">
        <v>358</v>
      </c>
      <c r="CR185" s="217">
        <v>361</v>
      </c>
      <c r="CS185" s="217">
        <v>367</v>
      </c>
      <c r="CT185" s="216">
        <f>CS185</f>
        <v>367</v>
      </c>
      <c r="CU185" s="217">
        <v>369</v>
      </c>
      <c r="CV185" s="217">
        <v>370</v>
      </c>
      <c r="CW185" s="217">
        <v>373</v>
      </c>
      <c r="CX185" s="217">
        <v>374</v>
      </c>
      <c r="CY185" s="216">
        <f>CX185</f>
        <v>374</v>
      </c>
      <c r="CZ185" s="217">
        <v>373</v>
      </c>
      <c r="DA185" s="217">
        <v>377</v>
      </c>
      <c r="DB185" s="217">
        <v>378</v>
      </c>
      <c r="DC185" s="236">
        <v>379</v>
      </c>
      <c r="DD185" s="216">
        <f t="shared" ref="DD185:DD187" si="1030">DC185</f>
        <v>379</v>
      </c>
      <c r="DE185" s="236">
        <v>377</v>
      </c>
      <c r="DF185" s="236">
        <v>380</v>
      </c>
      <c r="DG185" s="315">
        <f>DF185</f>
        <v>380</v>
      </c>
      <c r="DH185" s="315">
        <f>DG185-1</f>
        <v>379</v>
      </c>
      <c r="DI185" s="216">
        <f t="shared" ref="DG185:DI186" si="1031">DH185</f>
        <v>379</v>
      </c>
      <c r="DJ185" s="315">
        <f t="shared" ref="DJ185:DJ187" si="1032">DI185</f>
        <v>379</v>
      </c>
      <c r="DK185" s="315">
        <f>DJ185</f>
        <v>379</v>
      </c>
      <c r="DL185" s="315">
        <f>DK185</f>
        <v>379</v>
      </c>
      <c r="DM185" s="315">
        <f t="shared" ref="DM185:DN187" si="1033">DL185</f>
        <v>379</v>
      </c>
      <c r="DN185" s="216">
        <f t="shared" si="1033"/>
        <v>379</v>
      </c>
      <c r="DO185" s="315">
        <f t="shared" ref="DO185:DQ185" si="1034">DN185</f>
        <v>379</v>
      </c>
      <c r="DP185" s="315">
        <f t="shared" si="1034"/>
        <v>379</v>
      </c>
      <c r="DQ185" s="315">
        <f t="shared" si="1034"/>
        <v>379</v>
      </c>
      <c r="DR185" s="315">
        <f t="shared" ref="DR185" si="1035">DQ185</f>
        <v>379</v>
      </c>
      <c r="DS185" s="216">
        <f t="shared" ref="DR185:DS187" si="1036">DR185</f>
        <v>379</v>
      </c>
    </row>
    <row r="186" s="92" customFormat="1" hidden="1" outlineLevel="1" spans="2:123">
      <c r="B186" s="287" t="s">
        <v>367</v>
      </c>
      <c r="C186" s="216"/>
      <c r="D186" s="217"/>
      <c r="E186" s="217"/>
      <c r="F186" s="217"/>
      <c r="G186" s="217"/>
      <c r="H186" s="216"/>
      <c r="I186" s="217"/>
      <c r="J186" s="217"/>
      <c r="K186" s="217"/>
      <c r="L186" s="217"/>
      <c r="M186" s="216"/>
      <c r="N186" s="217"/>
      <c r="O186" s="217"/>
      <c r="P186" s="217"/>
      <c r="Q186" s="313">
        <v>37</v>
      </c>
      <c r="R186" s="216">
        <f>Q186</f>
        <v>37</v>
      </c>
      <c r="S186" s="313">
        <v>38</v>
      </c>
      <c r="T186" s="313">
        <v>40</v>
      </c>
      <c r="U186" s="313">
        <v>42</v>
      </c>
      <c r="V186" s="313">
        <v>42</v>
      </c>
      <c r="W186" s="216">
        <f>V186</f>
        <v>42</v>
      </c>
      <c r="X186" s="313">
        <v>42</v>
      </c>
      <c r="Y186" s="313">
        <v>42</v>
      </c>
      <c r="Z186" s="313">
        <v>41</v>
      </c>
      <c r="AA186" s="313">
        <f>44-AA441</f>
        <v>44</v>
      </c>
      <c r="AB186" s="216">
        <f>AA186</f>
        <v>44</v>
      </c>
      <c r="AC186" s="313">
        <v>41</v>
      </c>
      <c r="AD186" s="313">
        <v>42</v>
      </c>
      <c r="AE186" s="313">
        <v>42</v>
      </c>
      <c r="AF186" s="313">
        <v>42</v>
      </c>
      <c r="AG186" s="216">
        <f>AF186</f>
        <v>42</v>
      </c>
      <c r="AH186" s="313">
        <v>42</v>
      </c>
      <c r="AI186" s="313">
        <v>42</v>
      </c>
      <c r="AJ186" s="314">
        <v>42</v>
      </c>
      <c r="AK186" s="314">
        <v>42</v>
      </c>
      <c r="AL186" s="216">
        <f>AK186</f>
        <v>42</v>
      </c>
      <c r="AM186" s="314">
        <v>42</v>
      </c>
      <c r="AN186" s="314">
        <v>42</v>
      </c>
      <c r="AO186" s="314">
        <v>43</v>
      </c>
      <c r="AP186" s="314">
        <v>43</v>
      </c>
      <c r="AQ186" s="216">
        <f>AP186</f>
        <v>43</v>
      </c>
      <c r="AR186" s="314">
        <v>43</v>
      </c>
      <c r="AS186" s="314">
        <v>44</v>
      </c>
      <c r="AT186" s="314">
        <v>44</v>
      </c>
      <c r="AU186" s="314">
        <v>45</v>
      </c>
      <c r="AV186" s="216">
        <f>AU186</f>
        <v>45</v>
      </c>
      <c r="AW186" s="314">
        <v>45</v>
      </c>
      <c r="AX186" s="314">
        <v>45</v>
      </c>
      <c r="AY186" s="314">
        <v>46</v>
      </c>
      <c r="AZ186" s="314">
        <v>46</v>
      </c>
      <c r="BA186" s="216">
        <f>AZ186</f>
        <v>46</v>
      </c>
      <c r="BB186" s="314">
        <v>47</v>
      </c>
      <c r="BC186" s="314">
        <v>48</v>
      </c>
      <c r="BD186" s="314">
        <v>48</v>
      </c>
      <c r="BE186" s="314">
        <v>48</v>
      </c>
      <c r="BF186" s="216">
        <f>BE186</f>
        <v>48</v>
      </c>
      <c r="BG186" s="314">
        <v>48</v>
      </c>
      <c r="BH186" s="314">
        <v>49</v>
      </c>
      <c r="BI186" s="314">
        <v>50</v>
      </c>
      <c r="BJ186" s="314">
        <v>51</v>
      </c>
      <c r="BK186" s="216">
        <f>BJ186</f>
        <v>51</v>
      </c>
      <c r="BL186" s="314">
        <v>51</v>
      </c>
      <c r="BM186" s="314">
        <v>53</v>
      </c>
      <c r="BN186" s="314">
        <v>54</v>
      </c>
      <c r="BO186" s="217">
        <v>57</v>
      </c>
      <c r="BP186" s="216">
        <f>BO186</f>
        <v>57</v>
      </c>
      <c r="BQ186" s="217">
        <f>60-BQ443</f>
        <v>57</v>
      </c>
      <c r="BR186" s="217">
        <f>60-BR443</f>
        <v>57</v>
      </c>
      <c r="BS186" s="217">
        <f>61-BS443</f>
        <v>58</v>
      </c>
      <c r="BT186" s="217">
        <f>64-BT443</f>
        <v>61</v>
      </c>
      <c r="BU186" s="216">
        <f>BT186</f>
        <v>61</v>
      </c>
      <c r="BV186" s="217">
        <f>64-BV443</f>
        <v>61</v>
      </c>
      <c r="BW186" s="217">
        <f>64-BW443</f>
        <v>61</v>
      </c>
      <c r="BX186" s="217">
        <f>63-BX443</f>
        <v>61</v>
      </c>
      <c r="BY186" s="217">
        <v>63</v>
      </c>
      <c r="BZ186" s="216">
        <f>BY186</f>
        <v>63</v>
      </c>
      <c r="CA186" s="217">
        <v>61</v>
      </c>
      <c r="CB186" s="217">
        <v>61</v>
      </c>
      <c r="CC186" s="217">
        <v>61</v>
      </c>
      <c r="CD186" s="217">
        <v>62</v>
      </c>
      <c r="CE186" s="216">
        <f>CD186</f>
        <v>62</v>
      </c>
      <c r="CF186" s="217">
        <v>62</v>
      </c>
      <c r="CG186" s="217">
        <v>62</v>
      </c>
      <c r="CH186" s="217">
        <v>62</v>
      </c>
      <c r="CI186" s="217">
        <v>63</v>
      </c>
      <c r="CJ186" s="216">
        <f>CI186</f>
        <v>63</v>
      </c>
      <c r="CK186" s="236">
        <v>64</v>
      </c>
      <c r="CL186" s="217">
        <v>65</v>
      </c>
      <c r="CM186" s="217">
        <v>66</v>
      </c>
      <c r="CN186" s="217">
        <v>69</v>
      </c>
      <c r="CO186" s="216">
        <f>CN186</f>
        <v>69</v>
      </c>
      <c r="CP186" s="236">
        <v>69</v>
      </c>
      <c r="CQ186" s="217">
        <v>68</v>
      </c>
      <c r="CR186" s="217">
        <v>70</v>
      </c>
      <c r="CS186" s="217">
        <v>71</v>
      </c>
      <c r="CT186" s="216">
        <f>CS186</f>
        <v>71</v>
      </c>
      <c r="CU186" s="217">
        <v>71</v>
      </c>
      <c r="CV186" s="217">
        <v>71</v>
      </c>
      <c r="CW186" s="217">
        <v>71</v>
      </c>
      <c r="CX186" s="217">
        <v>71</v>
      </c>
      <c r="CY186" s="216">
        <f>CX186</f>
        <v>71</v>
      </c>
      <c r="CZ186" s="217">
        <v>71</v>
      </c>
      <c r="DA186" s="217">
        <v>72</v>
      </c>
      <c r="DB186" s="217">
        <v>72</v>
      </c>
      <c r="DC186" s="236">
        <v>71</v>
      </c>
      <c r="DD186" s="216">
        <f t="shared" si="1030"/>
        <v>71</v>
      </c>
      <c r="DE186" s="236">
        <v>72</v>
      </c>
      <c r="DF186" s="236">
        <v>74</v>
      </c>
      <c r="DG186" s="315">
        <f t="shared" si="1031"/>
        <v>74</v>
      </c>
      <c r="DH186" s="315">
        <f t="shared" si="1031"/>
        <v>74</v>
      </c>
      <c r="DI186" s="216">
        <f t="shared" si="1031"/>
        <v>74</v>
      </c>
      <c r="DJ186" s="315">
        <f t="shared" si="1032"/>
        <v>74</v>
      </c>
      <c r="DK186" s="315">
        <f t="shared" ref="DK186" si="1037">DJ186+1</f>
        <v>75</v>
      </c>
      <c r="DL186" s="315">
        <f t="shared" ref="DL186" si="1038">DK186+1</f>
        <v>76</v>
      </c>
      <c r="DM186" s="315">
        <f t="shared" si="1033"/>
        <v>76</v>
      </c>
      <c r="DN186" s="216">
        <f t="shared" si="1033"/>
        <v>76</v>
      </c>
      <c r="DO186" s="315">
        <f t="shared" ref="DO186:DO187" si="1039">DN186</f>
        <v>76</v>
      </c>
      <c r="DP186" s="315">
        <f t="shared" ref="DP186" si="1040">DO186+1</f>
        <v>77</v>
      </c>
      <c r="DQ186" s="315">
        <f t="shared" ref="DQ186" si="1041">DP186+1</f>
        <v>78</v>
      </c>
      <c r="DR186" s="315">
        <f t="shared" si="1036"/>
        <v>78</v>
      </c>
      <c r="DS186" s="216">
        <f t="shared" si="1036"/>
        <v>78</v>
      </c>
    </row>
    <row r="187" s="92" customFormat="1" hidden="1" outlineLevel="1" spans="2:123">
      <c r="B187" s="287" t="s">
        <v>368</v>
      </c>
      <c r="C187" s="216"/>
      <c r="D187" s="217"/>
      <c r="E187" s="217"/>
      <c r="F187" s="217"/>
      <c r="G187" s="217"/>
      <c r="H187" s="216"/>
      <c r="I187" s="217"/>
      <c r="J187" s="217"/>
      <c r="K187" s="217"/>
      <c r="L187" s="217"/>
      <c r="M187" s="216"/>
      <c r="N187" s="217"/>
      <c r="O187" s="217"/>
      <c r="P187" s="217"/>
      <c r="Q187" s="773" t="s">
        <v>208</v>
      </c>
      <c r="R187" s="216" t="s">
        <v>208</v>
      </c>
      <c r="S187" s="313" t="s">
        <v>208</v>
      </c>
      <c r="T187" s="313" t="s">
        <v>208</v>
      </c>
      <c r="U187" s="313" t="s">
        <v>208</v>
      </c>
      <c r="V187" s="313" t="s">
        <v>208</v>
      </c>
      <c r="W187" s="216" t="s">
        <v>208</v>
      </c>
      <c r="X187" s="313" t="s">
        <v>208</v>
      </c>
      <c r="Y187" s="313" t="s">
        <v>208</v>
      </c>
      <c r="Z187" s="313" t="s">
        <v>208</v>
      </c>
      <c r="AA187" s="313" t="s">
        <v>208</v>
      </c>
      <c r="AB187" s="216" t="s">
        <v>208</v>
      </c>
      <c r="AC187" s="313" t="s">
        <v>208</v>
      </c>
      <c r="AD187" s="313" t="s">
        <v>208</v>
      </c>
      <c r="AE187" s="313" t="s">
        <v>208</v>
      </c>
      <c r="AF187" s="313" t="s">
        <v>208</v>
      </c>
      <c r="AG187" s="216" t="s">
        <v>208</v>
      </c>
      <c r="AH187" s="313" t="s">
        <v>208</v>
      </c>
      <c r="AI187" s="313" t="s">
        <v>208</v>
      </c>
      <c r="AJ187" s="314" t="s">
        <v>208</v>
      </c>
      <c r="AK187" s="314" t="s">
        <v>208</v>
      </c>
      <c r="AL187" s="216" t="s">
        <v>208</v>
      </c>
      <c r="AM187" s="314" t="s">
        <v>208</v>
      </c>
      <c r="AN187" s="314" t="s">
        <v>208</v>
      </c>
      <c r="AO187" s="314" t="s">
        <v>208</v>
      </c>
      <c r="AP187" s="314" t="s">
        <v>208</v>
      </c>
      <c r="AQ187" s="216" t="s">
        <v>208</v>
      </c>
      <c r="AR187" s="314" t="s">
        <v>208</v>
      </c>
      <c r="AS187" s="314" t="s">
        <v>208</v>
      </c>
      <c r="AT187" s="314" t="s">
        <v>208</v>
      </c>
      <c r="AU187" s="314" t="s">
        <v>208</v>
      </c>
      <c r="AV187" s="216" t="s">
        <v>208</v>
      </c>
      <c r="AW187" s="314" t="s">
        <v>208</v>
      </c>
      <c r="AX187" s="314" t="s">
        <v>208</v>
      </c>
      <c r="AY187" s="314" t="s">
        <v>208</v>
      </c>
      <c r="AZ187" s="314" t="s">
        <v>208</v>
      </c>
      <c r="BA187" s="216" t="s">
        <v>208</v>
      </c>
      <c r="BB187" s="314" t="s">
        <v>208</v>
      </c>
      <c r="BC187" s="314" t="s">
        <v>208</v>
      </c>
      <c r="BD187" s="314" t="s">
        <v>208</v>
      </c>
      <c r="BE187" s="314" t="s">
        <v>208</v>
      </c>
      <c r="BF187" s="216" t="s">
        <v>208</v>
      </c>
      <c r="BG187" s="314" t="s">
        <v>208</v>
      </c>
      <c r="BH187" s="314" t="s">
        <v>208</v>
      </c>
      <c r="BI187" s="314" t="s">
        <v>208</v>
      </c>
      <c r="BJ187" s="314" t="s">
        <v>208</v>
      </c>
      <c r="BK187" s="216" t="s">
        <v>208</v>
      </c>
      <c r="BL187" s="314" t="s">
        <v>208</v>
      </c>
      <c r="BM187" s="314" t="s">
        <v>208</v>
      </c>
      <c r="BN187" s="314" t="s">
        <v>208</v>
      </c>
      <c r="BO187" s="217" t="s">
        <v>208</v>
      </c>
      <c r="BP187" s="216" t="s">
        <v>208</v>
      </c>
      <c r="BQ187" s="217" t="s">
        <v>208</v>
      </c>
      <c r="BR187" s="217" t="s">
        <v>208</v>
      </c>
      <c r="BS187" s="217" t="s">
        <v>208</v>
      </c>
      <c r="BT187" s="217" t="s">
        <v>208</v>
      </c>
      <c r="BU187" s="216" t="s">
        <v>208</v>
      </c>
      <c r="BV187" s="217" t="s">
        <v>208</v>
      </c>
      <c r="BW187" s="217" t="s">
        <v>208</v>
      </c>
      <c r="BX187" s="217" t="s">
        <v>208</v>
      </c>
      <c r="BY187" s="217" t="s">
        <v>208</v>
      </c>
      <c r="BZ187" s="216" t="s">
        <v>208</v>
      </c>
      <c r="CA187" s="217" t="s">
        <v>208</v>
      </c>
      <c r="CB187" s="217" t="s">
        <v>208</v>
      </c>
      <c r="CC187" s="217" t="s">
        <v>208</v>
      </c>
      <c r="CD187" s="217" t="s">
        <v>208</v>
      </c>
      <c r="CE187" s="216" t="s">
        <v>208</v>
      </c>
      <c r="CF187" s="217" t="s">
        <v>208</v>
      </c>
      <c r="CG187" s="217" t="s">
        <v>208</v>
      </c>
      <c r="CH187" s="217" t="s">
        <v>208</v>
      </c>
      <c r="CI187" s="217" t="s">
        <v>208</v>
      </c>
      <c r="CJ187" s="216" t="s">
        <v>208</v>
      </c>
      <c r="CK187" s="236" t="s">
        <v>208</v>
      </c>
      <c r="CL187" s="217" t="s">
        <v>208</v>
      </c>
      <c r="CM187" s="217" t="s">
        <v>208</v>
      </c>
      <c r="CN187" s="217" t="s">
        <v>208</v>
      </c>
      <c r="CO187" s="216" t="s">
        <v>208</v>
      </c>
      <c r="CP187" s="236" t="s">
        <v>208</v>
      </c>
      <c r="CQ187" s="217" t="s">
        <v>208</v>
      </c>
      <c r="CR187" s="217" t="s">
        <v>208</v>
      </c>
      <c r="CS187" s="217" t="s">
        <v>208</v>
      </c>
      <c r="CT187" s="216" t="s">
        <v>208</v>
      </c>
      <c r="CU187" s="217" t="s">
        <v>208</v>
      </c>
      <c r="CV187" s="217" t="s">
        <v>208</v>
      </c>
      <c r="CW187" s="217">
        <v>15</v>
      </c>
      <c r="CX187" s="217">
        <v>17</v>
      </c>
      <c r="CY187" s="216">
        <f>CX187</f>
        <v>17</v>
      </c>
      <c r="CZ187" s="217">
        <v>18</v>
      </c>
      <c r="DA187" s="217">
        <v>18</v>
      </c>
      <c r="DB187" s="217">
        <v>20</v>
      </c>
      <c r="DC187" s="236">
        <v>26</v>
      </c>
      <c r="DD187" s="216">
        <f t="shared" si="1030"/>
        <v>26</v>
      </c>
      <c r="DE187" s="236">
        <v>27</v>
      </c>
      <c r="DF187" s="236">
        <v>29</v>
      </c>
      <c r="DG187" s="315">
        <f>DF187+2</f>
        <v>31</v>
      </c>
      <c r="DH187" s="315">
        <f>DG187+2</f>
        <v>33</v>
      </c>
      <c r="DI187" s="216">
        <f>DH187</f>
        <v>33</v>
      </c>
      <c r="DJ187" s="315">
        <f t="shared" si="1032"/>
        <v>33</v>
      </c>
      <c r="DK187" s="315">
        <f>DJ187+2</f>
        <v>35</v>
      </c>
      <c r="DL187" s="315">
        <f>DK187+2</f>
        <v>37</v>
      </c>
      <c r="DM187" s="315">
        <f t="shared" si="1033"/>
        <v>37</v>
      </c>
      <c r="DN187" s="216">
        <f t="shared" si="1033"/>
        <v>37</v>
      </c>
      <c r="DO187" s="315">
        <f t="shared" si="1039"/>
        <v>37</v>
      </c>
      <c r="DP187" s="315">
        <f>DO187+2</f>
        <v>39</v>
      </c>
      <c r="DQ187" s="315">
        <f>DP187+2</f>
        <v>41</v>
      </c>
      <c r="DR187" s="315">
        <f t="shared" si="1036"/>
        <v>41</v>
      </c>
      <c r="DS187" s="216">
        <f t="shared" si="1036"/>
        <v>41</v>
      </c>
    </row>
    <row r="188" s="93" customFormat="1" collapsed="1" spans="2:123">
      <c r="B188" s="237" t="s">
        <v>301</v>
      </c>
      <c r="C188" s="297"/>
      <c r="D188" s="239"/>
      <c r="E188" s="239"/>
      <c r="F188" s="239"/>
      <c r="G188" s="239"/>
      <c r="H188" s="238"/>
      <c r="I188" s="239"/>
      <c r="J188" s="239"/>
      <c r="K188" s="239"/>
      <c r="L188" s="239"/>
      <c r="M188" s="238"/>
      <c r="N188" s="239"/>
      <c r="O188" s="239"/>
      <c r="P188" s="239"/>
      <c r="Q188" s="239">
        <f t="shared" ref="Q188:AB188" si="1042">Q185+Q186</f>
        <v>67</v>
      </c>
      <c r="R188" s="238">
        <f t="shared" si="1042"/>
        <v>67</v>
      </c>
      <c r="S188" s="239">
        <f t="shared" si="1042"/>
        <v>70</v>
      </c>
      <c r="T188" s="239">
        <f t="shared" si="1042"/>
        <v>79</v>
      </c>
      <c r="U188" s="239">
        <f t="shared" si="1042"/>
        <v>98</v>
      </c>
      <c r="V188" s="239">
        <f t="shared" si="1042"/>
        <v>103</v>
      </c>
      <c r="W188" s="238">
        <f t="shared" si="1042"/>
        <v>103</v>
      </c>
      <c r="X188" s="239">
        <f t="shared" si="1042"/>
        <v>103</v>
      </c>
      <c r="Y188" s="239">
        <f t="shared" si="1042"/>
        <v>104</v>
      </c>
      <c r="Z188" s="239">
        <f t="shared" si="1042"/>
        <v>106</v>
      </c>
      <c r="AA188" s="239">
        <f t="shared" si="1042"/>
        <v>110</v>
      </c>
      <c r="AB188" s="238">
        <f t="shared" si="1042"/>
        <v>110</v>
      </c>
      <c r="AC188" s="239">
        <f t="shared" ref="AC188:CJ188" si="1043">AC185+AC186</f>
        <v>111</v>
      </c>
      <c r="AD188" s="239">
        <f t="shared" si="1043"/>
        <v>113</v>
      </c>
      <c r="AE188" s="239">
        <f t="shared" si="1043"/>
        <v>116</v>
      </c>
      <c r="AF188" s="239">
        <f t="shared" si="1043"/>
        <v>120</v>
      </c>
      <c r="AG188" s="238">
        <f t="shared" si="1043"/>
        <v>120</v>
      </c>
      <c r="AH188" s="239">
        <f t="shared" si="1043"/>
        <v>123</v>
      </c>
      <c r="AI188" s="239">
        <f t="shared" si="1043"/>
        <v>131</v>
      </c>
      <c r="AJ188" s="239">
        <f t="shared" si="1043"/>
        <v>148</v>
      </c>
      <c r="AK188" s="239">
        <f t="shared" si="1043"/>
        <v>150</v>
      </c>
      <c r="AL188" s="238">
        <f t="shared" si="1043"/>
        <v>150</v>
      </c>
      <c r="AM188" s="239">
        <f t="shared" si="1043"/>
        <v>154</v>
      </c>
      <c r="AN188" s="239">
        <f t="shared" si="1043"/>
        <v>161</v>
      </c>
      <c r="AO188" s="239">
        <f t="shared" si="1043"/>
        <v>170</v>
      </c>
      <c r="AP188" s="239">
        <f t="shared" si="1043"/>
        <v>178</v>
      </c>
      <c r="AQ188" s="238">
        <f t="shared" si="1043"/>
        <v>178</v>
      </c>
      <c r="AR188" s="239">
        <f t="shared" si="1043"/>
        <v>184</v>
      </c>
      <c r="AS188" s="239">
        <f t="shared" si="1043"/>
        <v>191</v>
      </c>
      <c r="AT188" s="239">
        <f t="shared" si="1043"/>
        <v>208</v>
      </c>
      <c r="AU188" s="239">
        <f t="shared" si="1043"/>
        <v>213</v>
      </c>
      <c r="AV188" s="238">
        <f t="shared" si="1043"/>
        <v>213</v>
      </c>
      <c r="AW188" s="239">
        <f t="shared" si="1043"/>
        <v>216</v>
      </c>
      <c r="AX188" s="239">
        <f t="shared" si="1043"/>
        <v>221</v>
      </c>
      <c r="AY188" s="239">
        <f t="shared" si="1043"/>
        <v>237</v>
      </c>
      <c r="AZ188" s="239">
        <f t="shared" si="1043"/>
        <v>246</v>
      </c>
      <c r="BA188" s="238">
        <f t="shared" si="1043"/>
        <v>246</v>
      </c>
      <c r="BB188" s="239">
        <f t="shared" si="1043"/>
        <v>253</v>
      </c>
      <c r="BC188" s="239">
        <f t="shared" si="1043"/>
        <v>263</v>
      </c>
      <c r="BD188" s="239">
        <f t="shared" si="1043"/>
        <v>271</v>
      </c>
      <c r="BE188" s="239">
        <f t="shared" si="1043"/>
        <v>277</v>
      </c>
      <c r="BF188" s="238">
        <f t="shared" si="1043"/>
        <v>277</v>
      </c>
      <c r="BG188" s="239">
        <f t="shared" si="1043"/>
        <v>279</v>
      </c>
      <c r="BH188" s="239">
        <f t="shared" si="1043"/>
        <v>280</v>
      </c>
      <c r="BI188" s="239">
        <f t="shared" si="1043"/>
        <v>287</v>
      </c>
      <c r="BJ188" s="239">
        <f t="shared" si="1043"/>
        <v>296</v>
      </c>
      <c r="BK188" s="238">
        <f t="shared" si="1043"/>
        <v>296</v>
      </c>
      <c r="BL188" s="239">
        <f t="shared" si="1043"/>
        <v>298</v>
      </c>
      <c r="BM188" s="239">
        <f t="shared" si="1043"/>
        <v>305</v>
      </c>
      <c r="BN188" s="239">
        <f t="shared" si="1043"/>
        <v>317</v>
      </c>
      <c r="BO188" s="239">
        <f t="shared" si="1043"/>
        <v>326</v>
      </c>
      <c r="BP188" s="238">
        <f t="shared" si="1043"/>
        <v>326</v>
      </c>
      <c r="BQ188" s="239">
        <f t="shared" si="1043"/>
        <v>326</v>
      </c>
      <c r="BR188" s="239">
        <f t="shared" si="1043"/>
        <v>327</v>
      </c>
      <c r="BS188" s="239">
        <f t="shared" si="1043"/>
        <v>335</v>
      </c>
      <c r="BT188" s="239">
        <f t="shared" si="1043"/>
        <v>341</v>
      </c>
      <c r="BU188" s="238">
        <f t="shared" si="1043"/>
        <v>341</v>
      </c>
      <c r="BV188" s="239">
        <f t="shared" si="1043"/>
        <v>347</v>
      </c>
      <c r="BW188" s="239">
        <f t="shared" si="1043"/>
        <v>348</v>
      </c>
      <c r="BX188" s="239">
        <f t="shared" si="1043"/>
        <v>358</v>
      </c>
      <c r="BY188" s="239">
        <f t="shared" si="1043"/>
        <v>364</v>
      </c>
      <c r="BZ188" s="238">
        <f t="shared" si="1043"/>
        <v>364</v>
      </c>
      <c r="CA188" s="239">
        <f t="shared" si="1043"/>
        <v>362</v>
      </c>
      <c r="CB188" s="239">
        <f t="shared" si="1043"/>
        <v>370</v>
      </c>
      <c r="CC188" s="239">
        <f t="shared" si="1043"/>
        <v>375</v>
      </c>
      <c r="CD188" s="239">
        <f t="shared" si="1043"/>
        <v>377</v>
      </c>
      <c r="CE188" s="238">
        <f t="shared" si="1043"/>
        <v>377</v>
      </c>
      <c r="CF188" s="239">
        <f t="shared" si="1043"/>
        <v>377</v>
      </c>
      <c r="CG188" s="239">
        <f t="shared" si="1043"/>
        <v>380</v>
      </c>
      <c r="CH188" s="239">
        <f t="shared" si="1043"/>
        <v>384</v>
      </c>
      <c r="CI188" s="239">
        <f t="shared" si="1043"/>
        <v>387</v>
      </c>
      <c r="CJ188" s="238">
        <f t="shared" si="1043"/>
        <v>387</v>
      </c>
      <c r="CK188" s="239">
        <f t="shared" ref="CK188:CV188" si="1044">CK185+CK186</f>
        <v>389</v>
      </c>
      <c r="CL188" s="239">
        <f t="shared" si="1044"/>
        <v>396</v>
      </c>
      <c r="CM188" s="239">
        <f t="shared" si="1044"/>
        <v>403</v>
      </c>
      <c r="CN188" s="239">
        <f t="shared" si="1044"/>
        <v>419</v>
      </c>
      <c r="CO188" s="238">
        <f t="shared" si="1044"/>
        <v>419</v>
      </c>
      <c r="CP188" s="239">
        <f t="shared" si="1044"/>
        <v>426</v>
      </c>
      <c r="CQ188" s="239">
        <f t="shared" si="1044"/>
        <v>426</v>
      </c>
      <c r="CR188" s="239">
        <f t="shared" si="1044"/>
        <v>431</v>
      </c>
      <c r="CS188" s="239">
        <f t="shared" si="1044"/>
        <v>438</v>
      </c>
      <c r="CT188" s="238">
        <f t="shared" si="1044"/>
        <v>438</v>
      </c>
      <c r="CU188" s="239">
        <f t="shared" si="1044"/>
        <v>440</v>
      </c>
      <c r="CV188" s="239">
        <f t="shared" si="1044"/>
        <v>441</v>
      </c>
      <c r="CW188" s="239">
        <f>CW185+CW186+CW187</f>
        <v>459</v>
      </c>
      <c r="CX188" s="239">
        <f t="shared" ref="CX188:DN188" si="1045">CX185+CX186+CX187</f>
        <v>462</v>
      </c>
      <c r="CY188" s="238">
        <f t="shared" si="1045"/>
        <v>462</v>
      </c>
      <c r="CZ188" s="239">
        <f t="shared" si="1045"/>
        <v>462</v>
      </c>
      <c r="DA188" s="239">
        <f t="shared" si="1045"/>
        <v>467</v>
      </c>
      <c r="DB188" s="239">
        <f t="shared" ref="DB188" si="1046">DB185+DB186+DB187</f>
        <v>470</v>
      </c>
      <c r="DC188" s="239">
        <f t="shared" si="1045"/>
        <v>476</v>
      </c>
      <c r="DD188" s="238">
        <f t="shared" si="1045"/>
        <v>476</v>
      </c>
      <c r="DE188" s="239">
        <f t="shared" ref="DE188" si="1047">DE185+DE186+DE187</f>
        <v>476</v>
      </c>
      <c r="DF188" s="239">
        <f t="shared" si="1045"/>
        <v>483</v>
      </c>
      <c r="DG188" s="239">
        <f t="shared" si="1045"/>
        <v>485</v>
      </c>
      <c r="DH188" s="239">
        <f t="shared" si="1045"/>
        <v>486</v>
      </c>
      <c r="DI188" s="238">
        <f t="shared" si="1045"/>
        <v>486</v>
      </c>
      <c r="DJ188" s="239">
        <f t="shared" si="1045"/>
        <v>486</v>
      </c>
      <c r="DK188" s="239">
        <f t="shared" si="1045"/>
        <v>489</v>
      </c>
      <c r="DL188" s="239">
        <f t="shared" si="1045"/>
        <v>492</v>
      </c>
      <c r="DM188" s="239">
        <f t="shared" si="1045"/>
        <v>492</v>
      </c>
      <c r="DN188" s="238">
        <f t="shared" si="1045"/>
        <v>492</v>
      </c>
      <c r="DO188" s="239">
        <f t="shared" ref="DO188:DS188" si="1048">DO185+DO186+DO187</f>
        <v>492</v>
      </c>
      <c r="DP188" s="239">
        <f t="shared" si="1048"/>
        <v>495</v>
      </c>
      <c r="DQ188" s="239">
        <f t="shared" si="1048"/>
        <v>498</v>
      </c>
      <c r="DR188" s="239">
        <f t="shared" si="1048"/>
        <v>498</v>
      </c>
      <c r="DS188" s="238">
        <f t="shared" si="1048"/>
        <v>498</v>
      </c>
    </row>
    <row r="189" s="93" customFormat="1" spans="2:123">
      <c r="B189" s="288" t="s">
        <v>305</v>
      </c>
      <c r="C189" s="316"/>
      <c r="D189" s="317"/>
      <c r="E189" s="317"/>
      <c r="F189" s="317"/>
      <c r="G189" s="317"/>
      <c r="H189" s="318"/>
      <c r="I189" s="317"/>
      <c r="J189" s="317"/>
      <c r="K189" s="317"/>
      <c r="L189" s="317"/>
      <c r="M189" s="318"/>
      <c r="N189" s="317"/>
      <c r="O189" s="317"/>
      <c r="P189" s="317"/>
      <c r="Q189" s="319"/>
      <c r="R189" s="320"/>
      <c r="S189" s="319">
        <f>S188-R188</f>
        <v>3</v>
      </c>
      <c r="T189" s="319">
        <f>T188-S188</f>
        <v>9</v>
      </c>
      <c r="U189" s="319">
        <f>U188-T188</f>
        <v>19</v>
      </c>
      <c r="V189" s="319">
        <f>V188-U188</f>
        <v>5</v>
      </c>
      <c r="W189" s="320">
        <f>W188-R188</f>
        <v>36</v>
      </c>
      <c r="X189" s="319">
        <f>X188-W188</f>
        <v>0</v>
      </c>
      <c r="Y189" s="319">
        <f>Y188-X188</f>
        <v>1</v>
      </c>
      <c r="Z189" s="319">
        <f>Z188-Y188</f>
        <v>2</v>
      </c>
      <c r="AA189" s="319">
        <f>AA188-Z188</f>
        <v>4</v>
      </c>
      <c r="AB189" s="320">
        <f>AB188-W188</f>
        <v>7</v>
      </c>
      <c r="AC189" s="319">
        <f>AC188-AB188</f>
        <v>1</v>
      </c>
      <c r="AD189" s="319">
        <f>AD188-AC188</f>
        <v>2</v>
      </c>
      <c r="AE189" s="319">
        <f>AE188-AD188</f>
        <v>3</v>
      </c>
      <c r="AF189" s="319">
        <f>AF188-AE188</f>
        <v>4</v>
      </c>
      <c r="AG189" s="320">
        <f>AG188-AB188</f>
        <v>10</v>
      </c>
      <c r="AH189" s="319">
        <f>AH188-AG188</f>
        <v>3</v>
      </c>
      <c r="AI189" s="319">
        <f>AI188-AH188</f>
        <v>8</v>
      </c>
      <c r="AJ189" s="319">
        <f>AJ188-AI188</f>
        <v>17</v>
      </c>
      <c r="AK189" s="319">
        <f>AK188-AJ188</f>
        <v>2</v>
      </c>
      <c r="AL189" s="320">
        <f>AL188-AG188</f>
        <v>30</v>
      </c>
      <c r="AM189" s="319">
        <f>AM188-AL188</f>
        <v>4</v>
      </c>
      <c r="AN189" s="319">
        <f>AN188-AM188</f>
        <v>7</v>
      </c>
      <c r="AO189" s="319">
        <f>AO188-AN188</f>
        <v>9</v>
      </c>
      <c r="AP189" s="319">
        <f>AP188-AO188</f>
        <v>8</v>
      </c>
      <c r="AQ189" s="320">
        <f>AQ188-AL188</f>
        <v>28</v>
      </c>
      <c r="AR189" s="319">
        <f>AR188-AQ188</f>
        <v>6</v>
      </c>
      <c r="AS189" s="319">
        <f>AS188-AR188</f>
        <v>7</v>
      </c>
      <c r="AT189" s="319">
        <f>AT188-AS188</f>
        <v>17</v>
      </c>
      <c r="AU189" s="319">
        <f>AU188-AT188</f>
        <v>5</v>
      </c>
      <c r="AV189" s="320">
        <f>AV188-AQ188</f>
        <v>35</v>
      </c>
      <c r="AW189" s="319">
        <f>AW188-AV188</f>
        <v>3</v>
      </c>
      <c r="AX189" s="319">
        <f>AX188-AW188</f>
        <v>5</v>
      </c>
      <c r="AY189" s="319">
        <f>AY188-AX188</f>
        <v>16</v>
      </c>
      <c r="AZ189" s="319">
        <f>AZ188-AY188</f>
        <v>9</v>
      </c>
      <c r="BA189" s="320">
        <f>BA188-AV188</f>
        <v>33</v>
      </c>
      <c r="BB189" s="319">
        <f>BB188-BA188</f>
        <v>7</v>
      </c>
      <c r="BC189" s="319">
        <f>BC188-BB188</f>
        <v>10</v>
      </c>
      <c r="BD189" s="319">
        <f>BD188-BC188</f>
        <v>8</v>
      </c>
      <c r="BE189" s="319">
        <f>BE188-BD188</f>
        <v>6</v>
      </c>
      <c r="BF189" s="320">
        <f>BF188-BA188</f>
        <v>31</v>
      </c>
      <c r="BG189" s="319">
        <f>BG188-BF188</f>
        <v>2</v>
      </c>
      <c r="BH189" s="319">
        <f>BH188-BG188</f>
        <v>1</v>
      </c>
      <c r="BI189" s="319">
        <f>BI188-BH188</f>
        <v>7</v>
      </c>
      <c r="BJ189" s="319">
        <f>BJ188-BI188</f>
        <v>9</v>
      </c>
      <c r="BK189" s="320">
        <f>BK188-BF188</f>
        <v>19</v>
      </c>
      <c r="BL189" s="319">
        <f>BL188-BK188</f>
        <v>2</v>
      </c>
      <c r="BM189" s="319">
        <f>BM188-BL188</f>
        <v>7</v>
      </c>
      <c r="BN189" s="319">
        <f>BN188-BM188</f>
        <v>12</v>
      </c>
      <c r="BO189" s="319">
        <f>BO188-BN188</f>
        <v>9</v>
      </c>
      <c r="BP189" s="320">
        <f>BP188-BK188</f>
        <v>30</v>
      </c>
      <c r="BQ189" s="319">
        <f>BQ188-BP188</f>
        <v>0</v>
      </c>
      <c r="BR189" s="319">
        <f>BR188-BQ188</f>
        <v>1</v>
      </c>
      <c r="BS189" s="319">
        <f>BS188-BR188</f>
        <v>8</v>
      </c>
      <c r="BT189" s="319">
        <f>BT188-BS188</f>
        <v>6</v>
      </c>
      <c r="BU189" s="320">
        <f>BU188-BP188</f>
        <v>15</v>
      </c>
      <c r="BV189" s="319">
        <f>BV188-BU188</f>
        <v>6</v>
      </c>
      <c r="BW189" s="319">
        <f>BW188-BV188</f>
        <v>1</v>
      </c>
      <c r="BX189" s="319">
        <f>BX188-BW188</f>
        <v>10</v>
      </c>
      <c r="BY189" s="319">
        <f>BY188-BX188</f>
        <v>6</v>
      </c>
      <c r="BZ189" s="320">
        <f>BZ188-BU188</f>
        <v>23</v>
      </c>
      <c r="CA189" s="319">
        <f>CA188-BZ188</f>
        <v>-2</v>
      </c>
      <c r="CB189" s="319">
        <f>CB188-CA188</f>
        <v>8</v>
      </c>
      <c r="CC189" s="319">
        <f>CC188-CB188</f>
        <v>5</v>
      </c>
      <c r="CD189" s="319">
        <f>CD188-CC188</f>
        <v>2</v>
      </c>
      <c r="CE189" s="320">
        <f>CE188-BZ188</f>
        <v>13</v>
      </c>
      <c r="CF189" s="319">
        <f>CF188-CE188</f>
        <v>0</v>
      </c>
      <c r="CG189" s="319">
        <f>CG188-CF188</f>
        <v>3</v>
      </c>
      <c r="CH189" s="319">
        <f>CH188-CG188</f>
        <v>4</v>
      </c>
      <c r="CI189" s="319">
        <f>CI188-CH188</f>
        <v>3</v>
      </c>
      <c r="CJ189" s="320">
        <f>CJ188-CE188</f>
        <v>10</v>
      </c>
      <c r="CK189" s="319">
        <f>CK188-CJ188</f>
        <v>2</v>
      </c>
      <c r="CL189" s="319">
        <f>CL188-CK188</f>
        <v>7</v>
      </c>
      <c r="CM189" s="319">
        <f>CM188-CL188</f>
        <v>7</v>
      </c>
      <c r="CN189" s="319">
        <f>CN188-CM188</f>
        <v>16</v>
      </c>
      <c r="CO189" s="320">
        <f>CO188-CJ188</f>
        <v>32</v>
      </c>
      <c r="CP189" s="319">
        <f>CP188-CO188</f>
        <v>7</v>
      </c>
      <c r="CQ189" s="319">
        <f>CQ188-CP188</f>
        <v>0</v>
      </c>
      <c r="CR189" s="319">
        <f>CR188-CQ188</f>
        <v>5</v>
      </c>
      <c r="CS189" s="319">
        <f>CS188-CR188</f>
        <v>7</v>
      </c>
      <c r="CT189" s="320">
        <f>CT188-CO188</f>
        <v>19</v>
      </c>
      <c r="CU189" s="319">
        <f>CU188-CT188</f>
        <v>2</v>
      </c>
      <c r="CV189" s="319">
        <f>CV188-CU188</f>
        <v>1</v>
      </c>
      <c r="CW189" s="319">
        <f>CW188-CV188</f>
        <v>18</v>
      </c>
      <c r="CX189" s="319">
        <f t="shared" ref="CX189" si="1049">CX188-CW188</f>
        <v>3</v>
      </c>
      <c r="CY189" s="320">
        <f>CY188-CT188</f>
        <v>24</v>
      </c>
      <c r="CZ189" s="319">
        <f>CZ188-CY188</f>
        <v>0</v>
      </c>
      <c r="DA189" s="319">
        <f t="shared" ref="DA189:DC189" si="1050">DA188-CZ188</f>
        <v>5</v>
      </c>
      <c r="DB189" s="319">
        <f t="shared" si="1050"/>
        <v>3</v>
      </c>
      <c r="DC189" s="319">
        <f t="shared" si="1050"/>
        <v>6</v>
      </c>
      <c r="DD189" s="320">
        <f>DD188-CY188</f>
        <v>14</v>
      </c>
      <c r="DE189" s="319">
        <f>DE188-DD188</f>
        <v>0</v>
      </c>
      <c r="DF189" s="319">
        <f t="shared" ref="DF189:DH189" si="1051">DF188-DE188</f>
        <v>7</v>
      </c>
      <c r="DG189" s="319">
        <f t="shared" si="1051"/>
        <v>2</v>
      </c>
      <c r="DH189" s="319">
        <f t="shared" si="1051"/>
        <v>1</v>
      </c>
      <c r="DI189" s="320">
        <f>DI188-DD188</f>
        <v>10</v>
      </c>
      <c r="DJ189" s="319">
        <f>DJ188-DI188</f>
        <v>0</v>
      </c>
      <c r="DK189" s="319">
        <f t="shared" ref="DK189" si="1052">DK188-DJ188</f>
        <v>3</v>
      </c>
      <c r="DL189" s="319">
        <f t="shared" ref="DL189" si="1053">DL188-DK188</f>
        <v>3</v>
      </c>
      <c r="DM189" s="319">
        <f t="shared" ref="DM189" si="1054">DM188-DL188</f>
        <v>0</v>
      </c>
      <c r="DN189" s="320">
        <f>DN188-DI188</f>
        <v>6</v>
      </c>
      <c r="DO189" s="319">
        <f>DO188-DN188</f>
        <v>0</v>
      </c>
      <c r="DP189" s="319">
        <f t="shared" ref="DP189" si="1055">DP188-DO188</f>
        <v>3</v>
      </c>
      <c r="DQ189" s="319">
        <f t="shared" ref="DQ189" si="1056">DQ188-DP188</f>
        <v>3</v>
      </c>
      <c r="DR189" s="319">
        <f t="shared" ref="DR189" si="1057">DR188-DQ188</f>
        <v>0</v>
      </c>
      <c r="DS189" s="320">
        <f>DS188-DN188</f>
        <v>6</v>
      </c>
    </row>
    <row r="190" s="93" customFormat="1" spans="2:123">
      <c r="B190" s="237" t="s">
        <v>377</v>
      </c>
      <c r="C190" s="297"/>
      <c r="D190" s="239"/>
      <c r="E190" s="239"/>
      <c r="F190" s="239"/>
      <c r="G190" s="239"/>
      <c r="H190" s="238"/>
      <c r="I190" s="239"/>
      <c r="J190" s="239"/>
      <c r="K190" s="239"/>
      <c r="L190" s="239"/>
      <c r="M190" s="238"/>
      <c r="N190" s="239"/>
      <c r="O190" s="239"/>
      <c r="P190" s="239"/>
      <c r="Q190" s="240"/>
      <c r="R190" s="241"/>
      <c r="S190" s="240">
        <f>AVERAGE(R188:S188)</f>
        <v>68.5</v>
      </c>
      <c r="T190" s="240">
        <f>AVERAGE(S188:T188)</f>
        <v>74.5</v>
      </c>
      <c r="U190" s="240">
        <f>AVERAGE(T188:U188)</f>
        <v>88.5</v>
      </c>
      <c r="V190" s="240">
        <f>AVERAGE(U188:V188)</f>
        <v>100.5</v>
      </c>
      <c r="W190" s="241">
        <f>AVERAGE(S188:V188)</f>
        <v>87.5</v>
      </c>
      <c r="X190" s="240">
        <f>AVERAGE(W188:X188)</f>
        <v>103</v>
      </c>
      <c r="Y190" s="240">
        <f>AVERAGE(X188:Y188)</f>
        <v>103.5</v>
      </c>
      <c r="Z190" s="240">
        <f>AVERAGE(Y188:Z188)</f>
        <v>105</v>
      </c>
      <c r="AA190" s="240">
        <f>AVERAGE(Z188:AA188)</f>
        <v>108</v>
      </c>
      <c r="AB190" s="241">
        <f>AVERAGE(X188:AA188)</f>
        <v>105.75</v>
      </c>
      <c r="AC190" s="240">
        <f>AVERAGE(AB188:AC188)</f>
        <v>110.5</v>
      </c>
      <c r="AD190" s="240">
        <f>AVERAGE(AC188:AD188)</f>
        <v>112</v>
      </c>
      <c r="AE190" s="240">
        <f>AVERAGE(AD188:AE188)</f>
        <v>114.5</v>
      </c>
      <c r="AF190" s="240">
        <f>AVERAGE(AE188:AF188)</f>
        <v>118</v>
      </c>
      <c r="AG190" s="241">
        <f>AVERAGE(AC188:AF188)</f>
        <v>115</v>
      </c>
      <c r="AH190" s="240">
        <f>AVERAGE(AG188:AH188)</f>
        <v>121.5</v>
      </c>
      <c r="AI190" s="240">
        <f>AVERAGE(AH188:AI188)</f>
        <v>127</v>
      </c>
      <c r="AJ190" s="240">
        <f>AVERAGE(AI188:AJ188)</f>
        <v>139.5</v>
      </c>
      <c r="AK190" s="240">
        <f>AVERAGE(AJ188:AK188)</f>
        <v>149</v>
      </c>
      <c r="AL190" s="241">
        <f>AVERAGE(AH188:AK188)</f>
        <v>138</v>
      </c>
      <c r="AM190" s="240">
        <f>AVERAGE(AL188:AM188)</f>
        <v>152</v>
      </c>
      <c r="AN190" s="240">
        <f>AVERAGE(AM188:AN188)</f>
        <v>157.5</v>
      </c>
      <c r="AO190" s="240">
        <f>AVERAGE(AN188:AO188)</f>
        <v>165.5</v>
      </c>
      <c r="AP190" s="240">
        <f>AVERAGE(AO188:AP188)</f>
        <v>174</v>
      </c>
      <c r="AQ190" s="241">
        <f>AVERAGE(AM188:AP188)</f>
        <v>165.75</v>
      </c>
      <c r="AR190" s="240">
        <f>AVERAGE(AQ188:AR188)</f>
        <v>181</v>
      </c>
      <c r="AS190" s="240">
        <f>AVERAGE(AR188:AS188)</f>
        <v>187.5</v>
      </c>
      <c r="AT190" s="240">
        <f>AVERAGE(AS188:AT188)</f>
        <v>199.5</v>
      </c>
      <c r="AU190" s="240">
        <f>AVERAGE(AT188:AU188)</f>
        <v>210.5</v>
      </c>
      <c r="AV190" s="241">
        <f>AVERAGE(AR188:AU188)</f>
        <v>199</v>
      </c>
      <c r="AW190" s="240">
        <f>AVERAGE(AV188:AW188)</f>
        <v>214.5</v>
      </c>
      <c r="AX190" s="240">
        <f>AVERAGE(AW188:AX188)</f>
        <v>218.5</v>
      </c>
      <c r="AY190" s="240">
        <f>AVERAGE(AX188:AY188)</f>
        <v>229</v>
      </c>
      <c r="AZ190" s="240">
        <f>AVERAGE(AY188:AZ188)</f>
        <v>241.5</v>
      </c>
      <c r="BA190" s="241">
        <f>AVERAGE(AW188:AZ188)</f>
        <v>230</v>
      </c>
      <c r="BB190" s="240">
        <f>AVERAGE(BA188:BB188)</f>
        <v>249.5</v>
      </c>
      <c r="BC190" s="240">
        <f>AVERAGE(BB188:BC188)</f>
        <v>258</v>
      </c>
      <c r="BD190" s="240">
        <f>AVERAGE(BC188:BD188)</f>
        <v>267</v>
      </c>
      <c r="BE190" s="240">
        <f>AVERAGE(BD188:BE188)</f>
        <v>274</v>
      </c>
      <c r="BF190" s="241">
        <f>AVERAGE(BB188:BE188)</f>
        <v>266</v>
      </c>
      <c r="BG190" s="240">
        <f>AVERAGE(BF188:BG188)</f>
        <v>278</v>
      </c>
      <c r="BH190" s="240">
        <f>AVERAGE(BG188:BH188)</f>
        <v>279.5</v>
      </c>
      <c r="BI190" s="240">
        <f>AVERAGE(BH188:BI188)</f>
        <v>283.5</v>
      </c>
      <c r="BJ190" s="240">
        <f>AVERAGE(BI188:BJ188)</f>
        <v>291.5</v>
      </c>
      <c r="BK190" s="241">
        <f>AVERAGE(BG188:BJ188)</f>
        <v>285.5</v>
      </c>
      <c r="BL190" s="240">
        <f>AVERAGE(BK188:BL188)</f>
        <v>297</v>
      </c>
      <c r="BM190" s="240">
        <f>AVERAGE(BL188:BM188)</f>
        <v>301.5</v>
      </c>
      <c r="BN190" s="240">
        <f>AVERAGE(BM188:BN188)</f>
        <v>311</v>
      </c>
      <c r="BO190" s="240">
        <f>AVERAGE(BN188:BO188)</f>
        <v>321.5</v>
      </c>
      <c r="BP190" s="241">
        <f>AVERAGE(BL188:BO188)</f>
        <v>311.5</v>
      </c>
      <c r="BQ190" s="240">
        <f>AVERAGE(BP188:BQ188)</f>
        <v>326</v>
      </c>
      <c r="BR190" s="240">
        <f>AVERAGE(BQ188:BR188)</f>
        <v>326.5</v>
      </c>
      <c r="BS190" s="240">
        <f>AVERAGE(BR188:BS188)</f>
        <v>331</v>
      </c>
      <c r="BT190" s="240">
        <f>AVERAGE(BS188:BT188)</f>
        <v>338</v>
      </c>
      <c r="BU190" s="241">
        <f>AVERAGE(BQ188:BT188)</f>
        <v>332.25</v>
      </c>
      <c r="BV190" s="240">
        <f>AVERAGE(BU188:BV188)</f>
        <v>344</v>
      </c>
      <c r="BW190" s="240">
        <f>AVERAGE(BV188:BW188)</f>
        <v>347.5</v>
      </c>
      <c r="BX190" s="240">
        <f>AVERAGE(BW188:BX188)</f>
        <v>353</v>
      </c>
      <c r="BY190" s="240">
        <f>AVERAGE(BX188:BY188)</f>
        <v>361</v>
      </c>
      <c r="BZ190" s="241">
        <f>AVERAGE(BV188:BY188)</f>
        <v>354.25</v>
      </c>
      <c r="CA190" s="240">
        <f>AVERAGE(BZ188:CA188)</f>
        <v>363</v>
      </c>
      <c r="CB190" s="240">
        <f>AVERAGE(CA188:CB188)</f>
        <v>366</v>
      </c>
      <c r="CC190" s="240">
        <f>AVERAGE(CB188:CC188)</f>
        <v>372.5</v>
      </c>
      <c r="CD190" s="240">
        <f>AVERAGE(CC188:CD188)</f>
        <v>376</v>
      </c>
      <c r="CE190" s="241">
        <f>AVERAGE(CA188:CD188)</f>
        <v>371</v>
      </c>
      <c r="CF190" s="240">
        <f>AVERAGE(CE188:CF188)</f>
        <v>377</v>
      </c>
      <c r="CG190" s="240">
        <f>AVERAGE(CF188:CG188)</f>
        <v>378.5</v>
      </c>
      <c r="CH190" s="240">
        <f>AVERAGE(CG188:CH188)</f>
        <v>382</v>
      </c>
      <c r="CI190" s="240">
        <f>AVERAGE(CH188:CI188)</f>
        <v>385.5</v>
      </c>
      <c r="CJ190" s="241">
        <f>AVERAGE(CF188:CI188)</f>
        <v>382</v>
      </c>
      <c r="CK190" s="240">
        <f>AVERAGE(CJ188:CK188)</f>
        <v>388</v>
      </c>
      <c r="CL190" s="240">
        <f>AVERAGE(CK188:CL188)</f>
        <v>392.5</v>
      </c>
      <c r="CM190" s="240">
        <f>AVERAGE(CL188:CM188)</f>
        <v>399.5</v>
      </c>
      <c r="CN190" s="240">
        <f>AVERAGE(CM188:CN188)</f>
        <v>411</v>
      </c>
      <c r="CO190" s="241">
        <f>AVERAGE(CK188:CN188)</f>
        <v>401.75</v>
      </c>
      <c r="CP190" s="240">
        <f>AVERAGE(CO188:CP188)</f>
        <v>422.5</v>
      </c>
      <c r="CQ190" s="240">
        <f>AVERAGE(CP188:CQ188)</f>
        <v>426</v>
      </c>
      <c r="CR190" s="240">
        <f>AVERAGE(CQ188:CR188)</f>
        <v>428.5</v>
      </c>
      <c r="CS190" s="240">
        <f>AVERAGE(CR188:CS188)</f>
        <v>434.5</v>
      </c>
      <c r="CT190" s="241">
        <f>AVERAGE(CP188:CS188)</f>
        <v>430.25</v>
      </c>
      <c r="CU190" s="240">
        <f>AVERAGE(CT188:CU188)</f>
        <v>439</v>
      </c>
      <c r="CV190" s="240">
        <f>AVERAGE(CU188:CV188)</f>
        <v>440.5</v>
      </c>
      <c r="CW190" s="240">
        <f>AVERAGE(CV188:CW188)</f>
        <v>450</v>
      </c>
      <c r="CX190" s="240">
        <f t="shared" ref="CX190" si="1058">AVERAGE(CW188:CX188)</f>
        <v>460.5</v>
      </c>
      <c r="CY190" s="241">
        <f>AVERAGE(CU188:CX188)</f>
        <v>450.5</v>
      </c>
      <c r="CZ190" s="240">
        <f>AVERAGE(CY188:CZ188)</f>
        <v>462</v>
      </c>
      <c r="DA190" s="240">
        <f>AVERAGE(CZ188:DA188)</f>
        <v>464.5</v>
      </c>
      <c r="DB190" s="240">
        <f>AVERAGE(DA188:DB188)</f>
        <v>468.5</v>
      </c>
      <c r="DC190" s="240">
        <f>AVERAGE(DB188:DC188)</f>
        <v>473</v>
      </c>
      <c r="DD190" s="241">
        <f>AVERAGE(CZ188:DC188)</f>
        <v>468.75</v>
      </c>
      <c r="DE190" s="240">
        <f>AVERAGE(DD188:DE188)</f>
        <v>476</v>
      </c>
      <c r="DF190" s="240">
        <f t="shared" ref="DF190:DH190" si="1059">AVERAGE(DE188:DF188)</f>
        <v>479.5</v>
      </c>
      <c r="DG190" s="240">
        <f t="shared" si="1059"/>
        <v>484</v>
      </c>
      <c r="DH190" s="240">
        <f t="shared" si="1059"/>
        <v>485.5</v>
      </c>
      <c r="DI190" s="241">
        <f>AVERAGE(DE188:DH188)</f>
        <v>482.5</v>
      </c>
      <c r="DJ190" s="240">
        <f>AVERAGE(DI188:DJ188)</f>
        <v>486</v>
      </c>
      <c r="DK190" s="240">
        <f t="shared" ref="DK190" si="1060">AVERAGE(DJ188:DK188)</f>
        <v>487.5</v>
      </c>
      <c r="DL190" s="240">
        <f t="shared" ref="DL190" si="1061">AVERAGE(DK188:DL188)</f>
        <v>490.5</v>
      </c>
      <c r="DM190" s="240">
        <f t="shared" ref="DM190" si="1062">AVERAGE(DL188:DM188)</f>
        <v>492</v>
      </c>
      <c r="DN190" s="241">
        <f>AVERAGE(DJ188:DM188)</f>
        <v>489.75</v>
      </c>
      <c r="DO190" s="240">
        <f>AVERAGE(DN188:DO188)</f>
        <v>492</v>
      </c>
      <c r="DP190" s="240">
        <f t="shared" ref="DP190" si="1063">AVERAGE(DO188:DP188)</f>
        <v>493.5</v>
      </c>
      <c r="DQ190" s="240">
        <f t="shared" ref="DQ190" si="1064">AVERAGE(DP188:DQ188)</f>
        <v>496.5</v>
      </c>
      <c r="DR190" s="240">
        <f t="shared" ref="DR190" si="1065">AVERAGE(DQ188:DR188)</f>
        <v>498</v>
      </c>
      <c r="DS190" s="241">
        <f>AVERAGE(DO188:DR188)</f>
        <v>495.75</v>
      </c>
    </row>
    <row r="191" s="93" customFormat="1" spans="2:123">
      <c r="B191" s="288" t="s">
        <v>370</v>
      </c>
      <c r="C191" s="297"/>
      <c r="D191" s="239"/>
      <c r="E191" s="239"/>
      <c r="F191" s="239"/>
      <c r="G191" s="239"/>
      <c r="H191" s="238"/>
      <c r="I191" s="239"/>
      <c r="J191" s="239"/>
      <c r="K191" s="239"/>
      <c r="L191" s="239"/>
      <c r="M191" s="238"/>
      <c r="N191" s="239"/>
      <c r="O191" s="239"/>
      <c r="P191" s="239"/>
      <c r="Q191" s="239"/>
      <c r="R191" s="238"/>
      <c r="S191" s="141"/>
      <c r="T191" s="141"/>
      <c r="U191" s="141"/>
      <c r="V191" s="141"/>
      <c r="W191" s="140"/>
      <c r="X191" s="141">
        <f t="shared" ref="X191" si="1066">X190/S190-1</f>
        <v>0.503649635036496</v>
      </c>
      <c r="Y191" s="141">
        <f t="shared" ref="Y191" si="1067">Y190/T190-1</f>
        <v>0.389261744966443</v>
      </c>
      <c r="Z191" s="141">
        <f t="shared" ref="Z191" si="1068">Z190/U190-1</f>
        <v>0.186440677966102</v>
      </c>
      <c r="AA191" s="141">
        <f t="shared" ref="AA191" si="1069">AA190/V190-1</f>
        <v>0.0746268656716418</v>
      </c>
      <c r="AB191" s="140">
        <f t="shared" ref="AB191" si="1070">AB190/W190-1</f>
        <v>0.208571428571429</v>
      </c>
      <c r="AC191" s="141">
        <f t="shared" ref="AC191" si="1071">AC190/X190-1</f>
        <v>0.0728155339805825</v>
      </c>
      <c r="AD191" s="141">
        <f t="shared" ref="AD191" si="1072">AD190/Y190-1</f>
        <v>0.0821256038647342</v>
      </c>
      <c r="AE191" s="141">
        <f t="shared" ref="AE191" si="1073">AE190/Z190-1</f>
        <v>0.0904761904761904</v>
      </c>
      <c r="AF191" s="141">
        <f t="shared" ref="AF191" si="1074">AF190/AA190-1</f>
        <v>0.0925925925925926</v>
      </c>
      <c r="AG191" s="140">
        <f t="shared" ref="AG191" si="1075">AG190/AB190-1</f>
        <v>0.0874704491725768</v>
      </c>
      <c r="AH191" s="141">
        <f t="shared" ref="AH191" si="1076">AH190/AC190-1</f>
        <v>0.0995475113122173</v>
      </c>
      <c r="AI191" s="141">
        <f t="shared" ref="AI191" si="1077">AI190/AD190-1</f>
        <v>0.133928571428571</v>
      </c>
      <c r="AJ191" s="141">
        <f t="shared" ref="AJ191" si="1078">AJ190/AE190-1</f>
        <v>0.218340611353712</v>
      </c>
      <c r="AK191" s="141">
        <f t="shared" ref="AK191" si="1079">AK190/AF190-1</f>
        <v>0.26271186440678</v>
      </c>
      <c r="AL191" s="140">
        <f t="shared" ref="AL191" si="1080">AL190/AG190-1</f>
        <v>0.2</v>
      </c>
      <c r="AM191" s="141">
        <f t="shared" ref="AM191" si="1081">AM190/AH190-1</f>
        <v>0.251028806584362</v>
      </c>
      <c r="AN191" s="141">
        <f t="shared" ref="AN191" si="1082">AN190/AI190-1</f>
        <v>0.240157480314961</v>
      </c>
      <c r="AO191" s="141">
        <f t="shared" ref="AO191" si="1083">AO190/AJ190-1</f>
        <v>0.186379928315412</v>
      </c>
      <c r="AP191" s="141">
        <f t="shared" ref="AP191" si="1084">AP190/AK190-1</f>
        <v>0.167785234899329</v>
      </c>
      <c r="AQ191" s="140">
        <f t="shared" ref="AQ191" si="1085">AQ190/AL190-1</f>
        <v>0.201086956521739</v>
      </c>
      <c r="AR191" s="141">
        <f t="shared" ref="AR191" si="1086">AR190/AM190-1</f>
        <v>0.190789473684211</v>
      </c>
      <c r="AS191" s="141">
        <f t="shared" ref="AS191" si="1087">AS190/AN190-1</f>
        <v>0.19047619047619</v>
      </c>
      <c r="AT191" s="141">
        <f t="shared" ref="AT191" si="1088">AT190/AO190-1</f>
        <v>0.205438066465257</v>
      </c>
      <c r="AU191" s="141">
        <f t="shared" ref="AU191" si="1089">AU190/AP190-1</f>
        <v>0.209770114942529</v>
      </c>
      <c r="AV191" s="140">
        <f t="shared" ref="AV191" si="1090">AV190/AQ190-1</f>
        <v>0.200603318250377</v>
      </c>
      <c r="AW191" s="141">
        <f t="shared" ref="AW191" si="1091">AW190/AR190-1</f>
        <v>0.185082872928177</v>
      </c>
      <c r="AX191" s="141">
        <f t="shared" ref="AX191" si="1092">AX190/AS190-1</f>
        <v>0.165333333333333</v>
      </c>
      <c r="AY191" s="141">
        <f t="shared" ref="AY191" si="1093">AY190/AT190-1</f>
        <v>0.147869674185464</v>
      </c>
      <c r="AZ191" s="141">
        <f t="shared" ref="AZ191" si="1094">AZ190/AU190-1</f>
        <v>0.147268408551069</v>
      </c>
      <c r="BA191" s="140">
        <f t="shared" ref="BA191" si="1095">BA190/AV190-1</f>
        <v>0.155778894472362</v>
      </c>
      <c r="BB191" s="141">
        <f t="shared" ref="BB191" si="1096">BB190/AW190-1</f>
        <v>0.163170163170163</v>
      </c>
      <c r="BC191" s="141">
        <f t="shared" ref="BC191" si="1097">BC190/AX190-1</f>
        <v>0.180778032036613</v>
      </c>
      <c r="BD191" s="141">
        <f t="shared" ref="BD191" si="1098">BD190/AY190-1</f>
        <v>0.165938864628821</v>
      </c>
      <c r="BE191" s="141">
        <f t="shared" ref="BE191" si="1099">BE190/AZ190-1</f>
        <v>0.134575569358178</v>
      </c>
      <c r="BF191" s="140">
        <f t="shared" ref="BF191" si="1100">BF190/BA190-1</f>
        <v>0.156521739130435</v>
      </c>
      <c r="BG191" s="141">
        <f t="shared" ref="BG191" si="1101">BG190/BB190-1</f>
        <v>0.114228456913828</v>
      </c>
      <c r="BH191" s="141">
        <f t="shared" ref="BH191" si="1102">BH190/BC190-1</f>
        <v>0.0833333333333333</v>
      </c>
      <c r="BI191" s="141">
        <f t="shared" ref="BI191" si="1103">BI190/BD190-1</f>
        <v>0.0617977528089888</v>
      </c>
      <c r="BJ191" s="141">
        <f t="shared" ref="BJ191" si="1104">BJ190/BE190-1</f>
        <v>0.0638686131386861</v>
      </c>
      <c r="BK191" s="140">
        <f t="shared" ref="BK191" si="1105">BK190/BF190-1</f>
        <v>0.0733082706766917</v>
      </c>
      <c r="BL191" s="141">
        <f t="shared" ref="BL191" si="1106">BL190/BG190-1</f>
        <v>0.0683453237410072</v>
      </c>
      <c r="BM191" s="141">
        <f t="shared" ref="BM191" si="1107">BM190/BH190-1</f>
        <v>0.0787119856887299</v>
      </c>
      <c r="BN191" s="141">
        <f t="shared" ref="BN191" si="1108">BN190/BI190-1</f>
        <v>0.0970017636684304</v>
      </c>
      <c r="BO191" s="141">
        <f t="shared" ref="BO191" si="1109">BO190/BJ190-1</f>
        <v>0.102915951972556</v>
      </c>
      <c r="BP191" s="140">
        <f t="shared" ref="BP191" si="1110">BP190/BK190-1</f>
        <v>0.0910683012259195</v>
      </c>
      <c r="BQ191" s="141">
        <f t="shared" ref="BQ191" si="1111">BQ190/BL190-1</f>
        <v>0.0976430976430978</v>
      </c>
      <c r="BR191" s="141">
        <f t="shared" ref="BR191" si="1112">BR190/BM190-1</f>
        <v>0.0829187396351576</v>
      </c>
      <c r="BS191" s="141">
        <f t="shared" ref="BS191" si="1113">BS190/BN190-1</f>
        <v>0.0643086816720257</v>
      </c>
      <c r="BT191" s="141">
        <f t="shared" ref="BT191" si="1114">BT190/BO190-1</f>
        <v>0.0513219284603421</v>
      </c>
      <c r="BU191" s="140">
        <f t="shared" ref="BU191" si="1115">BU190/BP190-1</f>
        <v>0.06661316211878</v>
      </c>
      <c r="BV191" s="141">
        <f t="shared" ref="BV191" si="1116">BV190/BQ190-1</f>
        <v>0.0552147239263803</v>
      </c>
      <c r="BW191" s="141">
        <f t="shared" ref="BW191" si="1117">BW190/BR190-1</f>
        <v>0.0643185298621747</v>
      </c>
      <c r="BX191" s="141">
        <f t="shared" ref="BX191" si="1118">BX190/BS190-1</f>
        <v>0.066465256797583</v>
      </c>
      <c r="BY191" s="141">
        <f t="shared" ref="BY191" si="1119">BY190/BT190-1</f>
        <v>0.0680473372781065</v>
      </c>
      <c r="BZ191" s="140">
        <f t="shared" ref="BZ191" si="1120">BZ190/BU190-1</f>
        <v>0.0662151993980435</v>
      </c>
      <c r="CA191" s="141">
        <f t="shared" ref="CA191" si="1121">CA190/BV190-1</f>
        <v>0.055232558139535</v>
      </c>
      <c r="CB191" s="141">
        <f t="shared" ref="CB191" si="1122">CB190/BW190-1</f>
        <v>0.0532374100719424</v>
      </c>
      <c r="CC191" s="141">
        <f t="shared" ref="CC191" si="1123">CC190/BX190-1</f>
        <v>0.0552407932011332</v>
      </c>
      <c r="CD191" s="141">
        <f t="shared" ref="CD191" si="1124">CD190/BY190-1</f>
        <v>0.0415512465373962</v>
      </c>
      <c r="CE191" s="140">
        <f t="shared" ref="CE191" si="1125">CE190/BZ190-1</f>
        <v>0.0472829922371207</v>
      </c>
      <c r="CF191" s="141">
        <f t="shared" ref="CF191" si="1126">CF190/CA190-1</f>
        <v>0.0385674931129476</v>
      </c>
      <c r="CG191" s="141">
        <f t="shared" ref="CG191" si="1127">CG190/CB190-1</f>
        <v>0.034153005464481</v>
      </c>
      <c r="CH191" s="141">
        <f t="shared" ref="CH191" si="1128">CH190/CC190-1</f>
        <v>0.025503355704698</v>
      </c>
      <c r="CI191" s="141">
        <f t="shared" ref="CI191" si="1129">CI190/CD190-1</f>
        <v>0.0252659574468086</v>
      </c>
      <c r="CJ191" s="140">
        <f t="shared" ref="CJ191:CK191" si="1130">CJ190/CE190-1</f>
        <v>0.0296495956873315</v>
      </c>
      <c r="CK191" s="141">
        <f t="shared" si="1130"/>
        <v>0.0291777188328912</v>
      </c>
      <c r="CL191" s="141">
        <f t="shared" ref="CL191:CT191" si="1131">CL190/CG190-1</f>
        <v>0.0369881109643329</v>
      </c>
      <c r="CM191" s="141">
        <f t="shared" si="1131"/>
        <v>0.0458115183246073</v>
      </c>
      <c r="CN191" s="141">
        <f t="shared" si="1131"/>
        <v>0.066147859922179</v>
      </c>
      <c r="CO191" s="140">
        <f t="shared" si="1131"/>
        <v>0.0517015706806283</v>
      </c>
      <c r="CP191" s="141">
        <f t="shared" si="1131"/>
        <v>0.0889175257731958</v>
      </c>
      <c r="CQ191" s="141">
        <f t="shared" si="1131"/>
        <v>0.0853503184713376</v>
      </c>
      <c r="CR191" s="141">
        <f t="shared" si="1131"/>
        <v>0.0725907384230289</v>
      </c>
      <c r="CS191" s="141">
        <f t="shared" si="1131"/>
        <v>0.0571776155717763</v>
      </c>
      <c r="CT191" s="140">
        <f t="shared" si="1131"/>
        <v>0.0709396390790293</v>
      </c>
      <c r="CU191" s="141">
        <f t="shared" ref="CU191:DI191" si="1132">CU190/CP190-1</f>
        <v>0.0390532544378699</v>
      </c>
      <c r="CV191" s="141">
        <f t="shared" si="1132"/>
        <v>0.034037558685446</v>
      </c>
      <c r="CW191" s="141">
        <f t="shared" si="1132"/>
        <v>0.0501750291715286</v>
      </c>
      <c r="CX191" s="141">
        <f t="shared" si="1132"/>
        <v>0.0598388952819333</v>
      </c>
      <c r="CY191" s="140">
        <f t="shared" si="1132"/>
        <v>0.0470656595002905</v>
      </c>
      <c r="CZ191" s="141">
        <f t="shared" si="1132"/>
        <v>0.0523917995444192</v>
      </c>
      <c r="DA191" s="141">
        <f t="shared" si="1132"/>
        <v>0.054483541430193</v>
      </c>
      <c r="DB191" s="141">
        <f t="shared" si="1132"/>
        <v>0.0411111111111111</v>
      </c>
      <c r="DC191" s="141">
        <f t="shared" si="1132"/>
        <v>0.0271444082519001</v>
      </c>
      <c r="DD191" s="140">
        <f t="shared" si="1132"/>
        <v>0.0405105438401776</v>
      </c>
      <c r="DE191" s="141">
        <f t="shared" si="1132"/>
        <v>0.0303030303030303</v>
      </c>
      <c r="DF191" s="141">
        <f t="shared" si="1132"/>
        <v>0.0322927879440258</v>
      </c>
      <c r="DG191" s="141">
        <f t="shared" si="1132"/>
        <v>0.033084311632871</v>
      </c>
      <c r="DH191" s="141">
        <f t="shared" si="1132"/>
        <v>0.0264270613107822</v>
      </c>
      <c r="DI191" s="140">
        <f t="shared" si="1132"/>
        <v>0.0293333333333334</v>
      </c>
      <c r="DJ191" s="141">
        <f t="shared" ref="DJ191" si="1133">DJ190/DE190-1</f>
        <v>0.0210084033613445</v>
      </c>
      <c r="DK191" s="141">
        <f t="shared" ref="DK191" si="1134">DK190/DF190-1</f>
        <v>0.0166840458811262</v>
      </c>
      <c r="DL191" s="141">
        <f t="shared" ref="DL191" si="1135">DL190/DG190-1</f>
        <v>0.0134297520661157</v>
      </c>
      <c r="DM191" s="141">
        <f t="shared" ref="DM191" si="1136">DM190/DH190-1</f>
        <v>0.0133882595262615</v>
      </c>
      <c r="DN191" s="140">
        <f t="shared" ref="DN191" si="1137">DN190/DI190-1</f>
        <v>0.0150259067357512</v>
      </c>
      <c r="DO191" s="141">
        <f t="shared" ref="DO191" si="1138">DO190/DJ190-1</f>
        <v>0.0123456790123457</v>
      </c>
      <c r="DP191" s="141">
        <f t="shared" ref="DP191" si="1139">DP190/DK190-1</f>
        <v>0.0123076923076924</v>
      </c>
      <c r="DQ191" s="141">
        <f t="shared" ref="DQ191" si="1140">DQ190/DL190-1</f>
        <v>0.0122324159021407</v>
      </c>
      <c r="DR191" s="141">
        <f t="shared" ref="DR191" si="1141">DR190/DM190-1</f>
        <v>0.0121951219512195</v>
      </c>
      <c r="DS191" s="140">
        <f t="shared" ref="DS191" si="1142">DS190/DN190-1</f>
        <v>0.0122511485451762</v>
      </c>
    </row>
    <row r="192" s="3" customFormat="1" spans="2:123">
      <c r="B192" s="321"/>
      <c r="C192" s="322"/>
      <c r="D192" s="323"/>
      <c r="E192" s="323"/>
      <c r="F192" s="323"/>
      <c r="G192" s="323"/>
      <c r="H192" s="324"/>
      <c r="I192" s="323"/>
      <c r="J192" s="323"/>
      <c r="K192" s="323"/>
      <c r="L192" s="323"/>
      <c r="M192" s="324"/>
      <c r="N192" s="323"/>
      <c r="O192" s="323"/>
      <c r="P192" s="323"/>
      <c r="Q192" s="323"/>
      <c r="R192" s="324"/>
      <c r="S192" s="323"/>
      <c r="T192" s="323"/>
      <c r="U192" s="323"/>
      <c r="V192" s="323"/>
      <c r="W192" s="324"/>
      <c r="X192" s="323"/>
      <c r="Y192" s="323"/>
      <c r="Z192" s="325"/>
      <c r="AA192" s="325"/>
      <c r="AB192" s="324"/>
      <c r="AC192" s="325"/>
      <c r="AD192" s="325"/>
      <c r="AE192" s="325"/>
      <c r="AF192" s="325"/>
      <c r="AG192" s="326"/>
      <c r="AH192" s="325"/>
      <c r="AI192" s="325"/>
      <c r="AJ192" s="325"/>
      <c r="AK192" s="325"/>
      <c r="AL192" s="326"/>
      <c r="AM192" s="325"/>
      <c r="AN192" s="325"/>
      <c r="AO192" s="325"/>
      <c r="AP192" s="325"/>
      <c r="AQ192" s="326"/>
      <c r="AR192" s="325"/>
      <c r="AS192" s="325"/>
      <c r="AT192" s="325"/>
      <c r="AU192" s="325"/>
      <c r="AV192" s="326"/>
      <c r="AW192" s="325"/>
      <c r="AX192" s="325"/>
      <c r="AY192" s="325"/>
      <c r="AZ192" s="325"/>
      <c r="BA192" s="326"/>
      <c r="BB192" s="325"/>
      <c r="BC192" s="325"/>
      <c r="BD192" s="325"/>
      <c r="BE192" s="325"/>
      <c r="BF192" s="326"/>
      <c r="BG192" s="325"/>
      <c r="BH192" s="325"/>
      <c r="BI192" s="325"/>
      <c r="BJ192" s="325"/>
      <c r="BK192" s="326"/>
      <c r="BL192" s="325"/>
      <c r="BM192" s="325"/>
      <c r="BN192" s="325"/>
      <c r="BO192" s="325"/>
      <c r="BP192" s="326"/>
      <c r="BQ192" s="325"/>
      <c r="BR192" s="325"/>
      <c r="BS192" s="325"/>
      <c r="BT192" s="327"/>
      <c r="BU192" s="328"/>
      <c r="BV192" s="327"/>
      <c r="BW192" s="327"/>
      <c r="BX192" s="327"/>
      <c r="BY192" s="323"/>
      <c r="BZ192" s="324"/>
      <c r="CA192" s="323"/>
      <c r="CB192" s="323"/>
      <c r="CC192" s="323"/>
      <c r="CD192" s="323"/>
      <c r="CE192" s="324"/>
      <c r="CF192" s="323"/>
      <c r="CG192" s="323"/>
      <c r="CH192" s="323"/>
      <c r="CI192" s="323"/>
      <c r="CJ192" s="324"/>
      <c r="CK192" s="323"/>
      <c r="CL192" s="323"/>
      <c r="CM192" s="323"/>
      <c r="CN192" s="323"/>
      <c r="CO192" s="324"/>
      <c r="CP192" s="323"/>
      <c r="CQ192" s="323"/>
      <c r="CR192" s="323"/>
      <c r="CS192" s="323"/>
      <c r="CT192" s="324"/>
      <c r="CU192" s="323"/>
      <c r="CV192" s="323"/>
      <c r="CW192" s="323"/>
      <c r="CX192" s="323"/>
      <c r="CY192" s="324"/>
      <c r="CZ192" s="323"/>
      <c r="DA192" s="323"/>
      <c r="DB192" s="323"/>
      <c r="DC192" s="323"/>
      <c r="DD192" s="324"/>
      <c r="DE192" s="323"/>
      <c r="DF192" s="323"/>
      <c r="DG192" s="323"/>
      <c r="DH192" s="323"/>
      <c r="DI192" s="324"/>
      <c r="DJ192" s="323"/>
      <c r="DK192" s="323"/>
      <c r="DL192" s="323"/>
      <c r="DM192" s="323"/>
      <c r="DN192" s="324"/>
      <c r="DO192" s="323"/>
      <c r="DP192" s="323"/>
      <c r="DQ192" s="323"/>
      <c r="DR192" s="323"/>
      <c r="DS192" s="324"/>
    </row>
    <row r="193" s="3" customFormat="1" spans="2:123">
      <c r="B193" s="130"/>
      <c r="C193" s="284"/>
      <c r="D193" s="189"/>
      <c r="E193" s="189"/>
      <c r="F193" s="189"/>
      <c r="G193" s="189"/>
      <c r="H193" s="188"/>
      <c r="I193" s="189"/>
      <c r="J193" s="189"/>
      <c r="K193" s="189"/>
      <c r="L193" s="189"/>
      <c r="M193" s="188"/>
      <c r="N193" s="189"/>
      <c r="O193" s="189"/>
      <c r="P193" s="189"/>
      <c r="Q193" s="189"/>
      <c r="R193" s="188"/>
      <c r="S193" s="189"/>
      <c r="T193" s="189"/>
      <c r="U193" s="189"/>
      <c r="V193" s="189"/>
      <c r="W193" s="188"/>
      <c r="X193" s="189"/>
      <c r="Y193" s="189"/>
      <c r="Z193" s="195"/>
      <c r="AA193" s="195"/>
      <c r="AB193" s="188"/>
      <c r="AC193" s="195"/>
      <c r="AD193" s="195"/>
      <c r="AE193" s="195"/>
      <c r="AF193" s="195"/>
      <c r="AG193" s="194"/>
      <c r="AH193" s="195"/>
      <c r="AI193" s="195"/>
      <c r="AJ193" s="195"/>
      <c r="AK193" s="195"/>
      <c r="AL193" s="194"/>
      <c r="AM193" s="195"/>
      <c r="AN193" s="195"/>
      <c r="AO193" s="195"/>
      <c r="AP193" s="195"/>
      <c r="AQ193" s="194"/>
      <c r="AR193" s="195"/>
      <c r="AS193" s="195"/>
      <c r="AT193" s="195"/>
      <c r="AU193" s="195"/>
      <c r="AV193" s="194"/>
      <c r="AW193" s="195"/>
      <c r="AX193" s="195"/>
      <c r="AY193" s="195"/>
      <c r="AZ193" s="195"/>
      <c r="BA193" s="194"/>
      <c r="BB193" s="195"/>
      <c r="BC193" s="195"/>
      <c r="BD193" s="195"/>
      <c r="BE193" s="195"/>
      <c r="BF193" s="194"/>
      <c r="BG193" s="195"/>
      <c r="BH193" s="195"/>
      <c r="BI193" s="195"/>
      <c r="BJ193" s="195"/>
      <c r="BK193" s="194"/>
      <c r="BL193" s="195"/>
      <c r="BM193" s="195"/>
      <c r="BN193" s="195"/>
      <c r="BO193" s="195"/>
      <c r="BP193" s="194"/>
      <c r="BQ193" s="195"/>
      <c r="BR193" s="195"/>
      <c r="BS193" s="195"/>
      <c r="BT193" s="120"/>
      <c r="BU193" s="119"/>
      <c r="BV193" s="120"/>
      <c r="BW193" s="120"/>
      <c r="BX193" s="120"/>
      <c r="BY193" s="189"/>
      <c r="BZ193" s="188"/>
      <c r="CA193" s="189"/>
      <c r="CB193" s="189"/>
      <c r="CC193" s="189"/>
      <c r="CD193" s="189"/>
      <c r="CE193" s="188"/>
      <c r="CF193" s="189"/>
      <c r="CG193" s="189"/>
      <c r="CH193" s="189"/>
      <c r="CI193" s="189"/>
      <c r="CJ193" s="188"/>
      <c r="CK193" s="189"/>
      <c r="CL193" s="189"/>
      <c r="CM193" s="189"/>
      <c r="CN193" s="189"/>
      <c r="CO193" s="188"/>
      <c r="CP193" s="189"/>
      <c r="CQ193" s="189"/>
      <c r="CR193" s="189"/>
      <c r="CS193" s="189"/>
      <c r="CT193" s="188"/>
      <c r="CU193" s="189"/>
      <c r="CV193" s="189"/>
      <c r="CW193" s="189"/>
      <c r="CX193" s="189"/>
      <c r="CY193" s="188"/>
      <c r="CZ193" s="189"/>
      <c r="DA193" s="189"/>
      <c r="DB193" s="189"/>
      <c r="DC193" s="189"/>
      <c r="DD193" s="188"/>
      <c r="DE193" s="189"/>
      <c r="DF193" s="189"/>
      <c r="DG193" s="189"/>
      <c r="DH193" s="189"/>
      <c r="DI193" s="188"/>
      <c r="DJ193" s="189"/>
      <c r="DK193" s="189"/>
      <c r="DL193" s="189"/>
      <c r="DM193" s="189"/>
      <c r="DN193" s="188"/>
      <c r="DO193" s="189"/>
      <c r="DP193" s="189"/>
      <c r="DQ193" s="189"/>
      <c r="DR193" s="189"/>
      <c r="DS193" s="188"/>
    </row>
    <row r="194" s="3" customFormat="1" spans="2:123">
      <c r="B194" s="123" t="s">
        <v>318</v>
      </c>
      <c r="C194" s="284"/>
      <c r="D194" s="189"/>
      <c r="E194" s="189"/>
      <c r="F194" s="189"/>
      <c r="G194" s="189"/>
      <c r="H194" s="188"/>
      <c r="I194" s="189"/>
      <c r="J194" s="189"/>
      <c r="K194" s="189"/>
      <c r="L194" s="189"/>
      <c r="M194" s="188"/>
      <c r="N194" s="189"/>
      <c r="O194" s="189"/>
      <c r="P194" s="189"/>
      <c r="Q194" s="189"/>
      <c r="R194" s="188"/>
      <c r="S194" s="189"/>
      <c r="T194" s="189"/>
      <c r="U194" s="189"/>
      <c r="V194" s="189"/>
      <c r="W194" s="188"/>
      <c r="X194" s="189"/>
      <c r="Y194" s="189"/>
      <c r="Z194" s="195"/>
      <c r="AA194" s="195"/>
      <c r="AB194" s="188"/>
      <c r="AC194" s="195"/>
      <c r="AD194" s="195"/>
      <c r="AE194" s="195"/>
      <c r="AF194" s="195"/>
      <c r="AG194" s="194"/>
      <c r="AH194" s="195"/>
      <c r="AI194" s="195"/>
      <c r="AJ194" s="195"/>
      <c r="AK194" s="195"/>
      <c r="AL194" s="194"/>
      <c r="AM194" s="195"/>
      <c r="AN194" s="195"/>
      <c r="AO194" s="195"/>
      <c r="AP194" s="195"/>
      <c r="AQ194" s="194"/>
      <c r="AR194" s="195"/>
      <c r="AS194" s="195"/>
      <c r="AT194" s="195"/>
      <c r="AU194" s="195"/>
      <c r="AV194" s="194"/>
      <c r="AW194" s="195"/>
      <c r="AX194" s="195"/>
      <c r="AY194" s="195"/>
      <c r="AZ194" s="195"/>
      <c r="BA194" s="194"/>
      <c r="BB194" s="195"/>
      <c r="BC194" s="195"/>
      <c r="BD194" s="195"/>
      <c r="BE194" s="195"/>
      <c r="BF194" s="194"/>
      <c r="BG194" s="195"/>
      <c r="BH194" s="195"/>
      <c r="BI194" s="195"/>
      <c r="BJ194" s="195"/>
      <c r="BK194" s="194"/>
      <c r="BL194" s="195"/>
      <c r="BM194" s="195"/>
      <c r="BN194" s="195"/>
      <c r="BO194" s="195"/>
      <c r="BP194" s="194"/>
      <c r="BQ194" s="195"/>
      <c r="BR194" s="195"/>
      <c r="BS194" s="195"/>
      <c r="BT194" s="120"/>
      <c r="BU194" s="119"/>
      <c r="BV194" s="120"/>
      <c r="BW194" s="120"/>
      <c r="BX194" s="120"/>
      <c r="BY194" s="189"/>
      <c r="BZ194" s="188"/>
      <c r="CA194" s="189"/>
      <c r="CB194" s="189"/>
      <c r="CC194" s="189"/>
      <c r="CD194" s="189"/>
      <c r="CE194" s="188"/>
      <c r="CF194" s="189"/>
      <c r="CG194" s="189"/>
      <c r="CH194" s="189"/>
      <c r="CI194" s="189"/>
      <c r="CJ194" s="188"/>
      <c r="CK194" s="189"/>
      <c r="CL194" s="189"/>
      <c r="CM194" s="189"/>
      <c r="CN194" s="189"/>
      <c r="CO194" s="124">
        <v>-2236.509</v>
      </c>
      <c r="CP194" s="189"/>
      <c r="CQ194" s="189"/>
      <c r="CR194" s="189"/>
      <c r="CS194" s="189"/>
      <c r="CT194" s="127">
        <v>-2283.49</v>
      </c>
      <c r="CU194" s="126">
        <v>-482.295</v>
      </c>
      <c r="CV194" s="126">
        <v>-493.895</v>
      </c>
      <c r="CW194" s="126">
        <v>-518.202</v>
      </c>
      <c r="CX194" s="126">
        <f>CY194-CU194-CV194-CW194</f>
        <v>-841.859</v>
      </c>
      <c r="CY194" s="127">
        <v>-2336.251</v>
      </c>
      <c r="CZ194" s="126">
        <v>-480.82</v>
      </c>
      <c r="DA194" s="126">
        <v>-515.473</v>
      </c>
      <c r="DB194" s="126">
        <v>-583.551</v>
      </c>
      <c r="DC194" s="126">
        <f>DD194-CZ194-DA194-DB194</f>
        <v>-1005.639</v>
      </c>
      <c r="DD194" s="127">
        <v>-2585.483</v>
      </c>
      <c r="DE194" s="126">
        <v>-545.559</v>
      </c>
      <c r="DF194" s="126">
        <v>-376.77</v>
      </c>
      <c r="DG194" s="126"/>
      <c r="DH194" s="126"/>
      <c r="DI194" s="127"/>
      <c r="DJ194" s="126"/>
      <c r="DK194" s="126"/>
      <c r="DL194" s="126"/>
      <c r="DM194" s="126"/>
      <c r="DN194" s="127"/>
      <c r="DO194" s="126"/>
      <c r="DP194" s="126"/>
      <c r="DQ194" s="126"/>
      <c r="DR194" s="126"/>
      <c r="DS194" s="127"/>
    </row>
    <row r="195" s="3" customFormat="1" spans="2:123">
      <c r="B195" s="225" t="s">
        <v>370</v>
      </c>
      <c r="C195" s="284"/>
      <c r="D195" s="189"/>
      <c r="E195" s="189"/>
      <c r="F195" s="189"/>
      <c r="G195" s="189"/>
      <c r="H195" s="188"/>
      <c r="I195" s="189"/>
      <c r="J195" s="189"/>
      <c r="K195" s="189"/>
      <c r="L195" s="189"/>
      <c r="M195" s="188"/>
      <c r="N195" s="189"/>
      <c r="O195" s="189"/>
      <c r="P195" s="189"/>
      <c r="Q195" s="189"/>
      <c r="R195" s="188"/>
      <c r="S195" s="189"/>
      <c r="T195" s="189"/>
      <c r="U195" s="189"/>
      <c r="V195" s="189"/>
      <c r="W195" s="188"/>
      <c r="X195" s="189"/>
      <c r="Y195" s="189"/>
      <c r="Z195" s="195"/>
      <c r="AA195" s="195"/>
      <c r="AB195" s="188"/>
      <c r="AC195" s="195"/>
      <c r="AD195" s="195"/>
      <c r="AE195" s="195"/>
      <c r="AF195" s="195"/>
      <c r="AG195" s="194"/>
      <c r="AH195" s="195"/>
      <c r="AI195" s="195"/>
      <c r="AJ195" s="195"/>
      <c r="AK195" s="195"/>
      <c r="AL195" s="194"/>
      <c r="AM195" s="195"/>
      <c r="AN195" s="195"/>
      <c r="AO195" s="195"/>
      <c r="AP195" s="195"/>
      <c r="AQ195" s="194"/>
      <c r="AR195" s="195"/>
      <c r="AS195" s="195"/>
      <c r="AT195" s="195"/>
      <c r="AU195" s="195"/>
      <c r="AV195" s="194"/>
      <c r="AW195" s="195"/>
      <c r="AX195" s="195"/>
      <c r="AY195" s="195"/>
      <c r="AZ195" s="195"/>
      <c r="BA195" s="194"/>
      <c r="BB195" s="195"/>
      <c r="BC195" s="195"/>
      <c r="BD195" s="195"/>
      <c r="BE195" s="195"/>
      <c r="BF195" s="194"/>
      <c r="BG195" s="195"/>
      <c r="BH195" s="195"/>
      <c r="BI195" s="195"/>
      <c r="BJ195" s="195"/>
      <c r="BK195" s="194"/>
      <c r="BL195" s="195"/>
      <c r="BM195" s="195"/>
      <c r="BN195" s="195"/>
      <c r="BO195" s="195"/>
      <c r="BP195" s="194"/>
      <c r="BQ195" s="195"/>
      <c r="BR195" s="195"/>
      <c r="BS195" s="195"/>
      <c r="BT195" s="120"/>
      <c r="BU195" s="119"/>
      <c r="BV195" s="120"/>
      <c r="BW195" s="120"/>
      <c r="BX195" s="120"/>
      <c r="BY195" s="189"/>
      <c r="BZ195" s="188"/>
      <c r="CA195" s="189"/>
      <c r="CB195" s="189"/>
      <c r="CC195" s="189"/>
      <c r="CD195" s="189"/>
      <c r="CE195" s="188"/>
      <c r="CF195" s="189"/>
      <c r="CG195" s="189"/>
      <c r="CH195" s="189"/>
      <c r="CI195" s="189"/>
      <c r="CJ195" s="188"/>
      <c r="CK195" s="189"/>
      <c r="CL195" s="189"/>
      <c r="CM195" s="189"/>
      <c r="CN195" s="189"/>
      <c r="CO195" s="140" t="s">
        <v>208</v>
      </c>
      <c r="CP195" s="189"/>
      <c r="CQ195" s="189"/>
      <c r="CR195" s="189"/>
      <c r="CS195" s="189"/>
      <c r="CT195" s="140">
        <f>CT194/CO194-1</f>
        <v>0.0210063988117195</v>
      </c>
      <c r="CU195" s="291" t="s">
        <v>208</v>
      </c>
      <c r="CV195" s="291" t="s">
        <v>208</v>
      </c>
      <c r="CW195" s="291" t="s">
        <v>208</v>
      </c>
      <c r="CX195" s="291" t="s">
        <v>208</v>
      </c>
      <c r="CY195" s="140">
        <f t="shared" ref="CY195:DE195" si="1143">CY194/CT194-1</f>
        <v>0.0231054219637488</v>
      </c>
      <c r="CZ195" s="291">
        <f t="shared" si="1143"/>
        <v>-0.00305829419753478</v>
      </c>
      <c r="DA195" s="291">
        <f t="shared" si="1143"/>
        <v>0.0436894481620587</v>
      </c>
      <c r="DB195" s="291">
        <f t="shared" si="1143"/>
        <v>0.126107193719824</v>
      </c>
      <c r="DC195" s="310">
        <f t="shared" si="1143"/>
        <v>0.194545642441311</v>
      </c>
      <c r="DD195" s="140">
        <f t="shared" si="1143"/>
        <v>0.106680318167868</v>
      </c>
      <c r="DE195" s="291">
        <f t="shared" si="1143"/>
        <v>0.134642901709579</v>
      </c>
      <c r="DF195" s="291">
        <f t="shared" ref="DF195" si="1144">DF194/DA194-1</f>
        <v>-0.269079078826631</v>
      </c>
      <c r="DG195" s="291"/>
      <c r="DH195" s="291"/>
      <c r="DI195" s="140"/>
      <c r="DJ195" s="291"/>
      <c r="DK195" s="291"/>
      <c r="DL195" s="291"/>
      <c r="DM195" s="291"/>
      <c r="DN195" s="140"/>
      <c r="DO195" s="291"/>
      <c r="DP195" s="291"/>
      <c r="DQ195" s="291"/>
      <c r="DR195" s="291"/>
      <c r="DS195" s="140"/>
    </row>
    <row r="196" s="87" customFormat="1" spans="2:123">
      <c r="B196" s="225" t="s">
        <v>186</v>
      </c>
      <c r="C196" s="310"/>
      <c r="D196" s="141"/>
      <c r="E196" s="141"/>
      <c r="F196" s="141"/>
      <c r="G196" s="141"/>
      <c r="H196" s="140"/>
      <c r="I196" s="141"/>
      <c r="J196" s="141"/>
      <c r="K196" s="141"/>
      <c r="L196" s="141"/>
      <c r="M196" s="140"/>
      <c r="N196" s="141"/>
      <c r="O196" s="141"/>
      <c r="P196" s="141"/>
      <c r="Q196" s="141"/>
      <c r="R196" s="140"/>
      <c r="S196" s="141"/>
      <c r="T196" s="141"/>
      <c r="U196" s="141"/>
      <c r="V196" s="141"/>
      <c r="W196" s="140"/>
      <c r="X196" s="141"/>
      <c r="Y196" s="141"/>
      <c r="Z196" s="141"/>
      <c r="AA196" s="141"/>
      <c r="AB196" s="140"/>
      <c r="AC196" s="141"/>
      <c r="AD196" s="141"/>
      <c r="AE196" s="141"/>
      <c r="AF196" s="141"/>
      <c r="AG196" s="140"/>
      <c r="AH196" s="141"/>
      <c r="AI196" s="141"/>
      <c r="AJ196" s="141"/>
      <c r="AK196" s="141"/>
      <c r="AL196" s="140"/>
      <c r="AM196" s="141"/>
      <c r="AN196" s="141"/>
      <c r="AO196" s="141"/>
      <c r="AP196" s="141"/>
      <c r="AQ196" s="140"/>
      <c r="AR196" s="141"/>
      <c r="AS196" s="141"/>
      <c r="AT196" s="141"/>
      <c r="AU196" s="141"/>
      <c r="AV196" s="140"/>
      <c r="AW196" s="141"/>
      <c r="AX196" s="141"/>
      <c r="AY196" s="141"/>
      <c r="AZ196" s="141"/>
      <c r="BA196" s="140"/>
      <c r="BB196" s="141"/>
      <c r="BC196" s="141"/>
      <c r="BD196" s="141"/>
      <c r="BE196" s="141"/>
      <c r="BF196" s="140"/>
      <c r="BG196" s="141"/>
      <c r="BH196" s="141"/>
      <c r="BI196" s="141"/>
      <c r="BJ196" s="141"/>
      <c r="BK196" s="140"/>
      <c r="BL196" s="141"/>
      <c r="BM196" s="141"/>
      <c r="BN196" s="141"/>
      <c r="BO196" s="141"/>
      <c r="BP196" s="140"/>
      <c r="BQ196" s="141"/>
      <c r="BR196" s="141"/>
      <c r="BS196" s="141"/>
      <c r="BT196" s="141"/>
      <c r="BU196" s="140"/>
      <c r="BV196" s="141"/>
      <c r="BW196" s="141"/>
      <c r="BX196" s="141"/>
      <c r="BY196" s="141"/>
      <c r="BZ196" s="140"/>
      <c r="CA196" s="141"/>
      <c r="CB196" s="141"/>
      <c r="CC196" s="141"/>
      <c r="CD196" s="141"/>
      <c r="CE196" s="140"/>
      <c r="CF196" s="141"/>
      <c r="CG196" s="141"/>
      <c r="CH196" s="141"/>
      <c r="CI196" s="141"/>
      <c r="CJ196" s="140"/>
      <c r="CK196" s="141"/>
      <c r="CL196" s="141"/>
      <c r="CM196" s="141"/>
      <c r="CN196" s="141"/>
      <c r="CO196" s="140">
        <f>-CO194/CO173</f>
        <v>0.328056338920659</v>
      </c>
      <c r="CP196" s="141"/>
      <c r="CQ196" s="141"/>
      <c r="CR196" s="141"/>
      <c r="CS196" s="141"/>
      <c r="CT196" s="140">
        <f t="shared" ref="CT196:DF196" si="1145">-CT194/CT173</f>
        <v>0.299213262877594</v>
      </c>
      <c r="CU196" s="141">
        <f t="shared" si="1145"/>
        <v>0.297297480558035</v>
      </c>
      <c r="CV196" s="141">
        <f t="shared" si="1145"/>
        <v>0.283614126986223</v>
      </c>
      <c r="CW196" s="141">
        <f t="shared" si="1145"/>
        <v>0.292706319878987</v>
      </c>
      <c r="CX196" s="141">
        <f t="shared" si="1145"/>
        <v>0.301301288404006</v>
      </c>
      <c r="CY196" s="140">
        <f t="shared" si="1145"/>
        <v>0.294677728339352</v>
      </c>
      <c r="CZ196" s="141">
        <f t="shared" si="1145"/>
        <v>0.287132485109504</v>
      </c>
      <c r="DA196" s="141">
        <f t="shared" si="1145"/>
        <v>0.293179397082385</v>
      </c>
      <c r="DB196" s="141">
        <f t="shared" si="1145"/>
        <v>0.336654586236617</v>
      </c>
      <c r="DC196" s="310">
        <f t="shared" si="1145"/>
        <v>0.375114281206183</v>
      </c>
      <c r="DD196" s="140">
        <f t="shared" si="1145"/>
        <v>0.329484962745207</v>
      </c>
      <c r="DE196" s="141">
        <f t="shared" si="1145"/>
        <v>0.336513468335379</v>
      </c>
      <c r="DF196" s="141">
        <f t="shared" si="1145"/>
        <v>0.233038424712947</v>
      </c>
      <c r="DG196" s="141"/>
      <c r="DH196" s="141"/>
      <c r="DI196" s="140"/>
      <c r="DJ196" s="141"/>
      <c r="DK196" s="141"/>
      <c r="DL196" s="141"/>
      <c r="DM196" s="141"/>
      <c r="DN196" s="140"/>
      <c r="DO196" s="141"/>
      <c r="DP196" s="141"/>
      <c r="DQ196" s="141"/>
      <c r="DR196" s="141"/>
      <c r="DS196" s="140"/>
    </row>
    <row r="197" s="87" customFormat="1" spans="2:123">
      <c r="B197" s="225" t="s">
        <v>378</v>
      </c>
      <c r="C197" s="310"/>
      <c r="D197" s="141"/>
      <c r="E197" s="141"/>
      <c r="F197" s="141"/>
      <c r="G197" s="141"/>
      <c r="H197" s="140"/>
      <c r="I197" s="141"/>
      <c r="J197" s="141"/>
      <c r="K197" s="141"/>
      <c r="L197" s="141"/>
      <c r="M197" s="140"/>
      <c r="N197" s="141"/>
      <c r="O197" s="141"/>
      <c r="P197" s="141"/>
      <c r="Q197" s="141"/>
      <c r="R197" s="140"/>
      <c r="S197" s="141"/>
      <c r="T197" s="141"/>
      <c r="U197" s="141"/>
      <c r="V197" s="141"/>
      <c r="W197" s="140"/>
      <c r="X197" s="141"/>
      <c r="Y197" s="141"/>
      <c r="Z197" s="141"/>
      <c r="AA197" s="141"/>
      <c r="AB197" s="140"/>
      <c r="AC197" s="141"/>
      <c r="AD197" s="141"/>
      <c r="AE197" s="141"/>
      <c r="AF197" s="141"/>
      <c r="AG197" s="140"/>
      <c r="AH197" s="141"/>
      <c r="AI197" s="141"/>
      <c r="AJ197" s="141"/>
      <c r="AK197" s="141"/>
      <c r="AL197" s="140"/>
      <c r="AM197" s="141"/>
      <c r="AN197" s="141"/>
      <c r="AO197" s="141"/>
      <c r="AP197" s="141"/>
      <c r="AQ197" s="140"/>
      <c r="AR197" s="141"/>
      <c r="AS197" s="141"/>
      <c r="AT197" s="141"/>
      <c r="AU197" s="141"/>
      <c r="AV197" s="140"/>
      <c r="AW197" s="141"/>
      <c r="AX197" s="141"/>
      <c r="AY197" s="141"/>
      <c r="AZ197" s="141"/>
      <c r="BA197" s="140"/>
      <c r="BB197" s="141"/>
      <c r="BC197" s="141"/>
      <c r="BD197" s="141"/>
      <c r="BE197" s="141"/>
      <c r="BF197" s="140"/>
      <c r="BG197" s="141"/>
      <c r="BH197" s="141"/>
      <c r="BI197" s="141"/>
      <c r="BJ197" s="141"/>
      <c r="BK197" s="140"/>
      <c r="BL197" s="141"/>
      <c r="BM197" s="141"/>
      <c r="BN197" s="141"/>
      <c r="BO197" s="141"/>
      <c r="BP197" s="140"/>
      <c r="BQ197" s="141"/>
      <c r="BR197" s="141"/>
      <c r="BS197" s="141"/>
      <c r="BT197" s="141"/>
      <c r="BU197" s="140"/>
      <c r="BV197" s="141"/>
      <c r="BW197" s="141"/>
      <c r="BX197" s="141"/>
      <c r="BY197" s="141"/>
      <c r="BZ197" s="140"/>
      <c r="CA197" s="141"/>
      <c r="CB197" s="141"/>
      <c r="CC197" s="141"/>
      <c r="CD197" s="141"/>
      <c r="CE197" s="140"/>
      <c r="CF197" s="141"/>
      <c r="CG197" s="141"/>
      <c r="CH197" s="141"/>
      <c r="CI197" s="141"/>
      <c r="CJ197" s="140"/>
      <c r="CK197" s="141"/>
      <c r="CL197" s="141"/>
      <c r="CM197" s="141"/>
      <c r="CN197" s="141"/>
      <c r="CO197" s="140">
        <f>(CO173+CO194)/CO173</f>
        <v>0.671943661079341</v>
      </c>
      <c r="CP197" s="141"/>
      <c r="CQ197" s="141"/>
      <c r="CR197" s="141"/>
      <c r="CS197" s="141"/>
      <c r="CT197" s="140">
        <f t="shared" ref="CT197:DF197" si="1146">(CT173+CT194)/CT173</f>
        <v>0.700786737122406</v>
      </c>
      <c r="CU197" s="141">
        <f t="shared" si="1146"/>
        <v>0.702702519441965</v>
      </c>
      <c r="CV197" s="141">
        <f t="shared" si="1146"/>
        <v>0.716385873013777</v>
      </c>
      <c r="CW197" s="141">
        <f t="shared" si="1146"/>
        <v>0.707293680121013</v>
      </c>
      <c r="CX197" s="141">
        <f t="shared" si="1146"/>
        <v>0.698698711595994</v>
      </c>
      <c r="CY197" s="140">
        <f t="shared" si="1146"/>
        <v>0.705322271660648</v>
      </c>
      <c r="CZ197" s="141">
        <f t="shared" si="1146"/>
        <v>0.712867514890496</v>
      </c>
      <c r="DA197" s="141">
        <f t="shared" si="1146"/>
        <v>0.706820602917615</v>
      </c>
      <c r="DB197" s="141">
        <f t="shared" si="1146"/>
        <v>0.663345413763383</v>
      </c>
      <c r="DC197" s="310">
        <f t="shared" si="1146"/>
        <v>0.624885718793817</v>
      </c>
      <c r="DD197" s="140">
        <f t="shared" si="1146"/>
        <v>0.670515037254793</v>
      </c>
      <c r="DE197" s="141">
        <f t="shared" si="1146"/>
        <v>0.663486531664621</v>
      </c>
      <c r="DF197" s="141">
        <f t="shared" si="1146"/>
        <v>0.766961575287053</v>
      </c>
      <c r="DG197" s="141"/>
      <c r="DH197" s="141"/>
      <c r="DI197" s="140"/>
      <c r="DJ197" s="141"/>
      <c r="DK197" s="141"/>
      <c r="DL197" s="141"/>
      <c r="DM197" s="141"/>
      <c r="DN197" s="140"/>
      <c r="DO197" s="141"/>
      <c r="DP197" s="141"/>
      <c r="DQ197" s="141"/>
      <c r="DR197" s="141"/>
      <c r="DS197" s="140"/>
    </row>
    <row r="198" s="3" customFormat="1" spans="2:123">
      <c r="B198" s="225" t="s">
        <v>379</v>
      </c>
      <c r="C198" s="284"/>
      <c r="D198" s="189"/>
      <c r="E198" s="189"/>
      <c r="F198" s="189"/>
      <c r="G198" s="189"/>
      <c r="H198" s="188"/>
      <c r="I198" s="189"/>
      <c r="J198" s="189"/>
      <c r="K198" s="189"/>
      <c r="L198" s="189"/>
      <c r="M198" s="188"/>
      <c r="N198" s="189"/>
      <c r="O198" s="189"/>
      <c r="P198" s="189"/>
      <c r="Q198" s="189"/>
      <c r="R198" s="188"/>
      <c r="S198" s="189"/>
      <c r="T198" s="189"/>
      <c r="U198" s="189"/>
      <c r="V198" s="189"/>
      <c r="W198" s="188"/>
      <c r="X198" s="189"/>
      <c r="Y198" s="189"/>
      <c r="Z198" s="195"/>
      <c r="AA198" s="195"/>
      <c r="AB198" s="188"/>
      <c r="AC198" s="195"/>
      <c r="AD198" s="195"/>
      <c r="AE198" s="195"/>
      <c r="AF198" s="195"/>
      <c r="AG198" s="194"/>
      <c r="AH198" s="195"/>
      <c r="AI198" s="195"/>
      <c r="AJ198" s="195"/>
      <c r="AK198" s="195"/>
      <c r="AL198" s="194"/>
      <c r="AM198" s="195"/>
      <c r="AN198" s="195"/>
      <c r="AO198" s="195"/>
      <c r="AP198" s="195"/>
      <c r="AQ198" s="194"/>
      <c r="AR198" s="195"/>
      <c r="AS198" s="195"/>
      <c r="AT198" s="195"/>
      <c r="AU198" s="195"/>
      <c r="AV198" s="194"/>
      <c r="AW198" s="195"/>
      <c r="AX198" s="195"/>
      <c r="AY198" s="195"/>
      <c r="AZ198" s="195"/>
      <c r="BA198" s="194"/>
      <c r="BB198" s="195"/>
      <c r="BC198" s="195"/>
      <c r="BD198" s="195"/>
      <c r="BE198" s="195"/>
      <c r="BF198" s="194"/>
      <c r="BG198" s="195"/>
      <c r="BH198" s="195"/>
      <c r="BI198" s="195"/>
      <c r="BJ198" s="195"/>
      <c r="BK198" s="194"/>
      <c r="BL198" s="195"/>
      <c r="BM198" s="195"/>
      <c r="BN198" s="195"/>
      <c r="BO198" s="195"/>
      <c r="BP198" s="194"/>
      <c r="BQ198" s="195"/>
      <c r="BR198" s="195"/>
      <c r="BS198" s="195"/>
      <c r="BT198" s="120"/>
      <c r="BU198" s="119"/>
      <c r="BV198" s="120"/>
      <c r="BW198" s="120"/>
      <c r="BX198" s="120"/>
      <c r="BY198" s="189"/>
      <c r="BZ198" s="188"/>
      <c r="CA198" s="189"/>
      <c r="CB198" s="189"/>
      <c r="CC198" s="189"/>
      <c r="CD198" s="189"/>
      <c r="CE198" s="188"/>
      <c r="CF198" s="189"/>
      <c r="CG198" s="189"/>
      <c r="CH198" s="189"/>
      <c r="CI198" s="189"/>
      <c r="CJ198" s="188"/>
      <c r="CK198" s="189"/>
      <c r="CL198" s="189"/>
      <c r="CM198" s="189"/>
      <c r="CN198" s="189"/>
      <c r="CO198" s="140" t="s">
        <v>208</v>
      </c>
      <c r="CP198" s="189"/>
      <c r="CQ198" s="189"/>
      <c r="CR198" s="189"/>
      <c r="CS198" s="189"/>
      <c r="CT198" s="329">
        <f>(CT197-CO197)*100*100</f>
        <v>288.430760430649</v>
      </c>
      <c r="CU198" s="291" t="s">
        <v>208</v>
      </c>
      <c r="CV198" s="291" t="s">
        <v>208</v>
      </c>
      <c r="CW198" s="291" t="s">
        <v>208</v>
      </c>
      <c r="CX198" s="291" t="s">
        <v>208</v>
      </c>
      <c r="CY198" s="329">
        <f t="shared" ref="CY198:DF198" si="1147">(CY197-CT197)*100*100</f>
        <v>45.3553453824218</v>
      </c>
      <c r="CZ198" s="330">
        <f t="shared" si="1147"/>
        <v>101.649954485314</v>
      </c>
      <c r="DA198" s="330">
        <f t="shared" si="1147"/>
        <v>-95.652700961617</v>
      </c>
      <c r="DB198" s="330">
        <f t="shared" si="1147"/>
        <v>-439.482663576306</v>
      </c>
      <c r="DC198" s="331">
        <f t="shared" si="1147"/>
        <v>-738.129928021768</v>
      </c>
      <c r="DD198" s="329">
        <f t="shared" si="1147"/>
        <v>-348.072344058554</v>
      </c>
      <c r="DE198" s="330">
        <f t="shared" si="1147"/>
        <v>-493.809832258756</v>
      </c>
      <c r="DF198" s="330">
        <f t="shared" si="1147"/>
        <v>601.409723694386</v>
      </c>
      <c r="DG198" s="332"/>
      <c r="DH198" s="332"/>
      <c r="DI198" s="329"/>
      <c r="DJ198" s="332"/>
      <c r="DK198" s="332"/>
      <c r="DL198" s="332"/>
      <c r="DM198" s="332"/>
      <c r="DN198" s="329"/>
      <c r="DO198" s="332"/>
      <c r="DP198" s="332"/>
      <c r="DQ198" s="332"/>
      <c r="DR198" s="332"/>
      <c r="DS198" s="329"/>
    </row>
    <row r="199" s="3" customFormat="1" spans="2:123">
      <c r="B199" s="123" t="s">
        <v>321</v>
      </c>
      <c r="C199" s="284"/>
      <c r="D199" s="189"/>
      <c r="E199" s="189"/>
      <c r="F199" s="189"/>
      <c r="G199" s="189"/>
      <c r="H199" s="188"/>
      <c r="I199" s="189"/>
      <c r="J199" s="189"/>
      <c r="K199" s="189"/>
      <c r="L199" s="189"/>
      <c r="M199" s="188"/>
      <c r="N199" s="189"/>
      <c r="O199" s="189"/>
      <c r="P199" s="189"/>
      <c r="Q199" s="189"/>
      <c r="R199" s="188"/>
      <c r="S199" s="189"/>
      <c r="T199" s="189"/>
      <c r="U199" s="189"/>
      <c r="V199" s="189"/>
      <c r="W199" s="188"/>
      <c r="X199" s="189"/>
      <c r="Y199" s="189"/>
      <c r="Z199" s="195"/>
      <c r="AA199" s="195"/>
      <c r="AB199" s="188"/>
      <c r="AC199" s="195"/>
      <c r="AD199" s="195"/>
      <c r="AE199" s="195"/>
      <c r="AF199" s="195"/>
      <c r="AG199" s="194"/>
      <c r="AH199" s="195"/>
      <c r="AI199" s="195"/>
      <c r="AJ199" s="195"/>
      <c r="AK199" s="195"/>
      <c r="AL199" s="194"/>
      <c r="AM199" s="195"/>
      <c r="AN199" s="195"/>
      <c r="AO199" s="195"/>
      <c r="AP199" s="195"/>
      <c r="AQ199" s="194"/>
      <c r="AR199" s="195"/>
      <c r="AS199" s="195"/>
      <c r="AT199" s="195"/>
      <c r="AU199" s="195"/>
      <c r="AV199" s="194"/>
      <c r="AW199" s="195"/>
      <c r="AX199" s="195"/>
      <c r="AY199" s="195"/>
      <c r="AZ199" s="195"/>
      <c r="BA199" s="194"/>
      <c r="BB199" s="195"/>
      <c r="BC199" s="195"/>
      <c r="BD199" s="195"/>
      <c r="BE199" s="195"/>
      <c r="BF199" s="194"/>
      <c r="BG199" s="195"/>
      <c r="BH199" s="195"/>
      <c r="BI199" s="195"/>
      <c r="BJ199" s="195"/>
      <c r="BK199" s="194"/>
      <c r="BL199" s="195"/>
      <c r="BM199" s="195"/>
      <c r="BN199" s="195"/>
      <c r="BO199" s="195"/>
      <c r="BP199" s="194"/>
      <c r="BQ199" s="195"/>
      <c r="BR199" s="195"/>
      <c r="BS199" s="195"/>
      <c r="BT199" s="120"/>
      <c r="BU199" s="119"/>
      <c r="BV199" s="120"/>
      <c r="BW199" s="120"/>
      <c r="BX199" s="120"/>
      <c r="BY199" s="189"/>
      <c r="BZ199" s="188"/>
      <c r="CA199" s="189"/>
      <c r="CB199" s="189"/>
      <c r="CC199" s="189"/>
      <c r="CD199" s="189"/>
      <c r="CE199" s="188"/>
      <c r="CF199" s="189"/>
      <c r="CG199" s="189"/>
      <c r="CH199" s="189"/>
      <c r="CI199" s="189"/>
      <c r="CJ199" s="188"/>
      <c r="CK199" s="189"/>
      <c r="CL199" s="189"/>
      <c r="CM199" s="189"/>
      <c r="CN199" s="189"/>
      <c r="CO199" s="124">
        <v>-501.331</v>
      </c>
      <c r="CP199" s="189"/>
      <c r="CQ199" s="189"/>
      <c r="CR199" s="189"/>
      <c r="CS199" s="189"/>
      <c r="CT199" s="127">
        <v>-576.81</v>
      </c>
      <c r="CU199" s="126">
        <v>-147.177</v>
      </c>
      <c r="CV199" s="126">
        <v>-150.458</v>
      </c>
      <c r="CW199" s="126">
        <v>-159.259</v>
      </c>
      <c r="CX199" s="126">
        <f>CY199-CU199-CV199-CW199</f>
        <v>-184.805</v>
      </c>
      <c r="CY199" s="127">
        <v>-641.699</v>
      </c>
      <c r="CZ199" s="126">
        <v>-156.647</v>
      </c>
      <c r="DA199" s="126">
        <v>-158.39</v>
      </c>
      <c r="DB199" s="126">
        <v>-167.97</v>
      </c>
      <c r="DC199" s="126">
        <f>DD199-CZ199-DA199-DB199</f>
        <v>-191.013</v>
      </c>
      <c r="DD199" s="127">
        <f>-674.02</f>
        <v>-674.02</v>
      </c>
      <c r="DE199" s="126">
        <v>-183.972</v>
      </c>
      <c r="DF199" s="126">
        <v>-190.694</v>
      </c>
      <c r="DG199" s="126"/>
      <c r="DH199" s="126"/>
      <c r="DI199" s="127"/>
      <c r="DJ199" s="126"/>
      <c r="DK199" s="126"/>
      <c r="DL199" s="126"/>
      <c r="DM199" s="126"/>
      <c r="DN199" s="127"/>
      <c r="DO199" s="126"/>
      <c r="DP199" s="126"/>
      <c r="DQ199" s="126"/>
      <c r="DR199" s="126"/>
      <c r="DS199" s="127"/>
    </row>
    <row r="200" s="3" customFormat="1" spans="2:123">
      <c r="B200" s="225" t="s">
        <v>370</v>
      </c>
      <c r="C200" s="284"/>
      <c r="D200" s="189"/>
      <c r="E200" s="189"/>
      <c r="F200" s="189"/>
      <c r="G200" s="189"/>
      <c r="H200" s="188"/>
      <c r="I200" s="189"/>
      <c r="J200" s="189"/>
      <c r="K200" s="189"/>
      <c r="L200" s="189"/>
      <c r="M200" s="188"/>
      <c r="N200" s="189"/>
      <c r="O200" s="189"/>
      <c r="P200" s="189"/>
      <c r="Q200" s="189"/>
      <c r="R200" s="188"/>
      <c r="S200" s="189"/>
      <c r="T200" s="189"/>
      <c r="U200" s="189"/>
      <c r="V200" s="189"/>
      <c r="W200" s="188"/>
      <c r="X200" s="189"/>
      <c r="Y200" s="189"/>
      <c r="Z200" s="195"/>
      <c r="AA200" s="195"/>
      <c r="AB200" s="188"/>
      <c r="AC200" s="195"/>
      <c r="AD200" s="195"/>
      <c r="AE200" s="195"/>
      <c r="AF200" s="195"/>
      <c r="AG200" s="194"/>
      <c r="AH200" s="195"/>
      <c r="AI200" s="195"/>
      <c r="AJ200" s="195"/>
      <c r="AK200" s="195"/>
      <c r="AL200" s="194"/>
      <c r="AM200" s="195"/>
      <c r="AN200" s="195"/>
      <c r="AO200" s="195"/>
      <c r="AP200" s="195"/>
      <c r="AQ200" s="194"/>
      <c r="AR200" s="195"/>
      <c r="AS200" s="195"/>
      <c r="AT200" s="195"/>
      <c r="AU200" s="195"/>
      <c r="AV200" s="194"/>
      <c r="AW200" s="195"/>
      <c r="AX200" s="195"/>
      <c r="AY200" s="195"/>
      <c r="AZ200" s="195"/>
      <c r="BA200" s="194"/>
      <c r="BB200" s="195"/>
      <c r="BC200" s="195"/>
      <c r="BD200" s="195"/>
      <c r="BE200" s="195"/>
      <c r="BF200" s="194"/>
      <c r="BG200" s="195"/>
      <c r="BH200" s="195"/>
      <c r="BI200" s="195"/>
      <c r="BJ200" s="195"/>
      <c r="BK200" s="194"/>
      <c r="BL200" s="195"/>
      <c r="BM200" s="195"/>
      <c r="BN200" s="195"/>
      <c r="BO200" s="195"/>
      <c r="BP200" s="194"/>
      <c r="BQ200" s="195"/>
      <c r="BR200" s="195"/>
      <c r="BS200" s="195"/>
      <c r="BT200" s="120"/>
      <c r="BU200" s="119"/>
      <c r="BV200" s="120"/>
      <c r="BW200" s="120"/>
      <c r="BX200" s="120"/>
      <c r="BY200" s="189"/>
      <c r="BZ200" s="188"/>
      <c r="CA200" s="189"/>
      <c r="CB200" s="189"/>
      <c r="CC200" s="189"/>
      <c r="CD200" s="189"/>
      <c r="CE200" s="188"/>
      <c r="CF200" s="189"/>
      <c r="CG200" s="189"/>
      <c r="CH200" s="189"/>
      <c r="CI200" s="189"/>
      <c r="CJ200" s="188"/>
      <c r="CK200" s="189"/>
      <c r="CL200" s="189"/>
      <c r="CM200" s="189"/>
      <c r="CN200" s="189"/>
      <c r="CO200" s="140" t="s">
        <v>208</v>
      </c>
      <c r="CP200" s="189"/>
      <c r="CQ200" s="189"/>
      <c r="CR200" s="189"/>
      <c r="CS200" s="189"/>
      <c r="CT200" s="140">
        <f>CT199/CO199-1</f>
        <v>0.150557216689173</v>
      </c>
      <c r="CU200" s="291" t="s">
        <v>208</v>
      </c>
      <c r="CV200" s="291" t="s">
        <v>208</v>
      </c>
      <c r="CW200" s="291" t="s">
        <v>208</v>
      </c>
      <c r="CX200" s="291" t="s">
        <v>208</v>
      </c>
      <c r="CY200" s="140">
        <f t="shared" ref="CY200:DE200" si="1148">CY199/CT199-1</f>
        <v>0.112496315944592</v>
      </c>
      <c r="CZ200" s="291">
        <f t="shared" si="1148"/>
        <v>0.0643442929262046</v>
      </c>
      <c r="DA200" s="291">
        <f t="shared" si="1148"/>
        <v>0.0527190312246606</v>
      </c>
      <c r="DB200" s="291">
        <f t="shared" si="1148"/>
        <v>0.0546970657859212</v>
      </c>
      <c r="DC200" s="291">
        <f t="shared" si="1148"/>
        <v>0.0335921647141586</v>
      </c>
      <c r="DD200" s="140">
        <f t="shared" si="1148"/>
        <v>0.0503678515939716</v>
      </c>
      <c r="DE200" s="291">
        <f t="shared" si="1148"/>
        <v>0.174436791001424</v>
      </c>
      <c r="DF200" s="291">
        <f t="shared" ref="DF200" si="1149">DF199/DA199-1</f>
        <v>0.203952269713997</v>
      </c>
      <c r="DG200" s="291"/>
      <c r="DH200" s="291"/>
      <c r="DI200" s="140"/>
      <c r="DJ200" s="291"/>
      <c r="DK200" s="291"/>
      <c r="DL200" s="291"/>
      <c r="DM200" s="291"/>
      <c r="DN200" s="140"/>
      <c r="DO200" s="291"/>
      <c r="DP200" s="291"/>
      <c r="DQ200" s="291"/>
      <c r="DR200" s="291"/>
      <c r="DS200" s="140"/>
    </row>
    <row r="201" s="87" customFormat="1" spans="2:123">
      <c r="B201" s="221" t="s">
        <v>186</v>
      </c>
      <c r="C201" s="310"/>
      <c r="D201" s="141"/>
      <c r="E201" s="141"/>
      <c r="F201" s="141"/>
      <c r="G201" s="141"/>
      <c r="H201" s="140"/>
      <c r="I201" s="141"/>
      <c r="J201" s="141"/>
      <c r="K201" s="141"/>
      <c r="L201" s="141"/>
      <c r="M201" s="140"/>
      <c r="N201" s="141"/>
      <c r="O201" s="141"/>
      <c r="P201" s="141"/>
      <c r="Q201" s="141"/>
      <c r="R201" s="140"/>
      <c r="S201" s="141"/>
      <c r="T201" s="141"/>
      <c r="U201" s="141"/>
      <c r="V201" s="141"/>
      <c r="W201" s="140"/>
      <c r="X201" s="141"/>
      <c r="Y201" s="141"/>
      <c r="Z201" s="141"/>
      <c r="AA201" s="141"/>
      <c r="AB201" s="140"/>
      <c r="AC201" s="141"/>
      <c r="AD201" s="141"/>
      <c r="AE201" s="141"/>
      <c r="AF201" s="141"/>
      <c r="AG201" s="140"/>
      <c r="AH201" s="141"/>
      <c r="AI201" s="141"/>
      <c r="AJ201" s="141"/>
      <c r="AK201" s="141"/>
      <c r="AL201" s="140"/>
      <c r="AM201" s="141"/>
      <c r="AN201" s="141"/>
      <c r="AO201" s="141"/>
      <c r="AP201" s="141"/>
      <c r="AQ201" s="140"/>
      <c r="AR201" s="141"/>
      <c r="AS201" s="141"/>
      <c r="AT201" s="141"/>
      <c r="AU201" s="141"/>
      <c r="AV201" s="140"/>
      <c r="AW201" s="141"/>
      <c r="AX201" s="141"/>
      <c r="AY201" s="141"/>
      <c r="AZ201" s="141"/>
      <c r="BA201" s="140"/>
      <c r="BB201" s="141"/>
      <c r="BC201" s="141"/>
      <c r="BD201" s="141"/>
      <c r="BE201" s="141"/>
      <c r="BF201" s="140"/>
      <c r="BG201" s="141"/>
      <c r="BH201" s="141"/>
      <c r="BI201" s="141"/>
      <c r="BJ201" s="141"/>
      <c r="BK201" s="140"/>
      <c r="BL201" s="141"/>
      <c r="BM201" s="141"/>
      <c r="BN201" s="141"/>
      <c r="BO201" s="141"/>
      <c r="BP201" s="140"/>
      <c r="BQ201" s="141"/>
      <c r="BR201" s="141"/>
      <c r="BS201" s="141"/>
      <c r="BT201" s="141"/>
      <c r="BU201" s="140"/>
      <c r="BV201" s="141"/>
      <c r="BW201" s="141"/>
      <c r="BX201" s="141"/>
      <c r="BY201" s="141"/>
      <c r="BZ201" s="140"/>
      <c r="CA201" s="141"/>
      <c r="CB201" s="141"/>
      <c r="CC201" s="141"/>
      <c r="CD201" s="141"/>
      <c r="CE201" s="140"/>
      <c r="CF201" s="141"/>
      <c r="CG201" s="141"/>
      <c r="CH201" s="141"/>
      <c r="CI201" s="141"/>
      <c r="CJ201" s="140"/>
      <c r="CK201" s="141"/>
      <c r="CL201" s="141"/>
      <c r="CM201" s="141"/>
      <c r="CN201" s="141"/>
      <c r="CO201" s="140">
        <f>-CO199/CO173</f>
        <v>0.0735363964318645</v>
      </c>
      <c r="CP201" s="141"/>
      <c r="CQ201" s="141"/>
      <c r="CR201" s="141"/>
      <c r="CS201" s="141"/>
      <c r="CT201" s="140">
        <f t="shared" ref="CT201:DF201" si="1150">-CT199/CT173</f>
        <v>0.0755813260230721</v>
      </c>
      <c r="CU201" s="141">
        <f t="shared" si="1150"/>
        <v>0.0907232115118131</v>
      </c>
      <c r="CV201" s="141">
        <f t="shared" si="1150"/>
        <v>0.0863989599370174</v>
      </c>
      <c r="CW201" s="141">
        <f t="shared" si="1150"/>
        <v>0.0899574216186111</v>
      </c>
      <c r="CX201" s="141">
        <f t="shared" si="1150"/>
        <v>0.066141699029769</v>
      </c>
      <c r="CY201" s="140">
        <f t="shared" si="1150"/>
        <v>0.0809392499340326</v>
      </c>
      <c r="CZ201" s="141">
        <f t="shared" si="1150"/>
        <v>0.0935452817997346</v>
      </c>
      <c r="DA201" s="141">
        <f t="shared" si="1150"/>
        <v>0.0900855810175877</v>
      </c>
      <c r="DB201" s="141">
        <f t="shared" si="1150"/>
        <v>0.0969030484913308</v>
      </c>
      <c r="DC201" s="141">
        <f t="shared" si="1150"/>
        <v>0.071249925864089</v>
      </c>
      <c r="DD201" s="140">
        <f t="shared" si="1150"/>
        <v>0.0858947649586265</v>
      </c>
      <c r="DE201" s="141">
        <f t="shared" si="1150"/>
        <v>0.113478204550922</v>
      </c>
      <c r="DF201" s="141">
        <f t="shared" si="1150"/>
        <v>0.117947366728271</v>
      </c>
      <c r="DG201" s="141"/>
      <c r="DH201" s="141"/>
      <c r="DI201" s="140"/>
      <c r="DJ201" s="141"/>
      <c r="DK201" s="141"/>
      <c r="DL201" s="141"/>
      <c r="DM201" s="141"/>
      <c r="DN201" s="140"/>
      <c r="DO201" s="141"/>
      <c r="DP201" s="141"/>
      <c r="DQ201" s="141"/>
      <c r="DR201" s="141"/>
      <c r="DS201" s="140"/>
    </row>
    <row r="202" s="3" customFormat="1" spans="2:123">
      <c r="B202" s="225" t="s">
        <v>379</v>
      </c>
      <c r="C202" s="284"/>
      <c r="D202" s="189"/>
      <c r="E202" s="189"/>
      <c r="F202" s="189"/>
      <c r="G202" s="189"/>
      <c r="H202" s="188"/>
      <c r="I202" s="189"/>
      <c r="J202" s="189"/>
      <c r="K202" s="189"/>
      <c r="L202" s="189"/>
      <c r="M202" s="188"/>
      <c r="N202" s="189"/>
      <c r="O202" s="189"/>
      <c r="P202" s="189"/>
      <c r="Q202" s="189"/>
      <c r="R202" s="188"/>
      <c r="S202" s="189"/>
      <c r="T202" s="189"/>
      <c r="U202" s="189"/>
      <c r="V202" s="189"/>
      <c r="W202" s="188"/>
      <c r="X202" s="189"/>
      <c r="Y202" s="189"/>
      <c r="Z202" s="195"/>
      <c r="AA202" s="195"/>
      <c r="AB202" s="188"/>
      <c r="AC202" s="195"/>
      <c r="AD202" s="195"/>
      <c r="AE202" s="195"/>
      <c r="AF202" s="195"/>
      <c r="AG202" s="194"/>
      <c r="AH202" s="195"/>
      <c r="AI202" s="195"/>
      <c r="AJ202" s="195"/>
      <c r="AK202" s="195"/>
      <c r="AL202" s="194"/>
      <c r="AM202" s="195"/>
      <c r="AN202" s="195"/>
      <c r="AO202" s="195"/>
      <c r="AP202" s="195"/>
      <c r="AQ202" s="194"/>
      <c r="AR202" s="195"/>
      <c r="AS202" s="195"/>
      <c r="AT202" s="195"/>
      <c r="AU202" s="195"/>
      <c r="AV202" s="194"/>
      <c r="AW202" s="195"/>
      <c r="AX202" s="195"/>
      <c r="AY202" s="195"/>
      <c r="AZ202" s="195"/>
      <c r="BA202" s="194"/>
      <c r="BB202" s="195"/>
      <c r="BC202" s="195"/>
      <c r="BD202" s="195"/>
      <c r="BE202" s="195"/>
      <c r="BF202" s="194"/>
      <c r="BG202" s="195"/>
      <c r="BH202" s="195"/>
      <c r="BI202" s="195"/>
      <c r="BJ202" s="195"/>
      <c r="BK202" s="194"/>
      <c r="BL202" s="195"/>
      <c r="BM202" s="195"/>
      <c r="BN202" s="195"/>
      <c r="BO202" s="195"/>
      <c r="BP202" s="194"/>
      <c r="BQ202" s="195"/>
      <c r="BR202" s="195"/>
      <c r="BS202" s="195"/>
      <c r="BT202" s="120"/>
      <c r="BU202" s="119"/>
      <c r="BV202" s="120"/>
      <c r="BW202" s="120"/>
      <c r="BX202" s="120"/>
      <c r="BY202" s="189"/>
      <c r="BZ202" s="188"/>
      <c r="CA202" s="189"/>
      <c r="CB202" s="189"/>
      <c r="CC202" s="189"/>
      <c r="CD202" s="189"/>
      <c r="CE202" s="188"/>
      <c r="CF202" s="189"/>
      <c r="CG202" s="189"/>
      <c r="CH202" s="189"/>
      <c r="CI202" s="189"/>
      <c r="CJ202" s="188"/>
      <c r="CK202" s="189"/>
      <c r="CL202" s="189"/>
      <c r="CM202" s="189"/>
      <c r="CN202" s="189"/>
      <c r="CO202" s="140" t="s">
        <v>208</v>
      </c>
      <c r="CP202" s="189"/>
      <c r="CQ202" s="189"/>
      <c r="CR202" s="189"/>
      <c r="CS202" s="189"/>
      <c r="CT202" s="329">
        <f>(CT201-CO201)*100*100</f>
        <v>20.4492959120763</v>
      </c>
      <c r="CU202" s="291" t="s">
        <v>208</v>
      </c>
      <c r="CV202" s="291" t="s">
        <v>208</v>
      </c>
      <c r="CW202" s="291" t="s">
        <v>208</v>
      </c>
      <c r="CX202" s="291" t="s">
        <v>208</v>
      </c>
      <c r="CY202" s="329">
        <f t="shared" ref="CY202:DF202" si="1151">(CY201-CT201)*100*100</f>
        <v>53.579239109605</v>
      </c>
      <c r="CZ202" s="330">
        <f t="shared" si="1151"/>
        <v>28.2207028792149</v>
      </c>
      <c r="DA202" s="330">
        <f t="shared" si="1151"/>
        <v>36.866210805703</v>
      </c>
      <c r="DB202" s="330">
        <f t="shared" si="1151"/>
        <v>69.456268727197</v>
      </c>
      <c r="DC202" s="333">
        <f t="shared" si="1151"/>
        <v>51.0822683431998</v>
      </c>
      <c r="DD202" s="329">
        <f t="shared" si="1151"/>
        <v>49.5551502459388</v>
      </c>
      <c r="DE202" s="330">
        <f t="shared" si="1151"/>
        <v>199.329227511872</v>
      </c>
      <c r="DF202" s="330">
        <f t="shared" si="1151"/>
        <v>278.617857106832</v>
      </c>
      <c r="DG202" s="334"/>
      <c r="DH202" s="334"/>
      <c r="DI202" s="329"/>
      <c r="DJ202" s="334"/>
      <c r="DK202" s="334"/>
      <c r="DL202" s="334"/>
      <c r="DM202" s="334"/>
      <c r="DN202" s="329"/>
      <c r="DO202" s="334"/>
      <c r="DP202" s="334"/>
      <c r="DQ202" s="334"/>
      <c r="DR202" s="334"/>
      <c r="DS202" s="329"/>
    </row>
    <row r="203" s="3" customFormat="1" spans="2:123">
      <c r="B203" s="130" t="s">
        <v>380</v>
      </c>
      <c r="C203" s="284"/>
      <c r="D203" s="189"/>
      <c r="E203" s="189"/>
      <c r="F203" s="189"/>
      <c r="G203" s="189"/>
      <c r="H203" s="188"/>
      <c r="I203" s="189"/>
      <c r="J203" s="189"/>
      <c r="K203" s="189"/>
      <c r="L203" s="189"/>
      <c r="M203" s="188"/>
      <c r="N203" s="189"/>
      <c r="O203" s="189"/>
      <c r="P203" s="189"/>
      <c r="Q203" s="189"/>
      <c r="R203" s="188"/>
      <c r="S203" s="189"/>
      <c r="T203" s="189"/>
      <c r="U203" s="189"/>
      <c r="V203" s="189"/>
      <c r="W203" s="188"/>
      <c r="X203" s="189"/>
      <c r="Y203" s="189"/>
      <c r="Z203" s="195"/>
      <c r="AA203" s="195"/>
      <c r="AB203" s="188"/>
      <c r="AC203" s="195"/>
      <c r="AD203" s="195"/>
      <c r="AE203" s="195"/>
      <c r="AF203" s="195"/>
      <c r="AG203" s="194"/>
      <c r="AH203" s="195"/>
      <c r="AI203" s="195"/>
      <c r="AJ203" s="195"/>
      <c r="AK203" s="195"/>
      <c r="AL203" s="194"/>
      <c r="AM203" s="195"/>
      <c r="AN203" s="195"/>
      <c r="AO203" s="195"/>
      <c r="AP203" s="195"/>
      <c r="AQ203" s="194"/>
      <c r="AR203" s="195"/>
      <c r="AS203" s="195"/>
      <c r="AT203" s="195"/>
      <c r="AU203" s="195"/>
      <c r="AV203" s="194"/>
      <c r="AW203" s="195"/>
      <c r="AX203" s="195"/>
      <c r="AY203" s="195"/>
      <c r="AZ203" s="195"/>
      <c r="BA203" s="194"/>
      <c r="BB203" s="195"/>
      <c r="BC203" s="195"/>
      <c r="BD203" s="195"/>
      <c r="BE203" s="195"/>
      <c r="BF203" s="194"/>
      <c r="BG203" s="195"/>
      <c r="BH203" s="195"/>
      <c r="BI203" s="195"/>
      <c r="BJ203" s="195"/>
      <c r="BK203" s="194"/>
      <c r="BL203" s="195"/>
      <c r="BM203" s="195"/>
      <c r="BN203" s="195"/>
      <c r="BO203" s="195"/>
      <c r="BP203" s="194"/>
      <c r="BQ203" s="195"/>
      <c r="BR203" s="195"/>
      <c r="BS203" s="195"/>
      <c r="BT203" s="120"/>
      <c r="BU203" s="119"/>
      <c r="BV203" s="120"/>
      <c r="BW203" s="120"/>
      <c r="BX203" s="120"/>
      <c r="BY203" s="189"/>
      <c r="BZ203" s="188"/>
      <c r="CA203" s="189"/>
      <c r="CB203" s="189"/>
      <c r="CC203" s="189"/>
      <c r="CD203" s="189"/>
      <c r="CE203" s="188"/>
      <c r="CF203" s="189"/>
      <c r="CG203" s="189"/>
      <c r="CH203" s="189"/>
      <c r="CI203" s="189"/>
      <c r="CJ203" s="188"/>
      <c r="CK203" s="189"/>
      <c r="CL203" s="189"/>
      <c r="CM203" s="189"/>
      <c r="CN203" s="189"/>
      <c r="CO203" s="131">
        <f>CO173+CO194+CO199</f>
        <v>4079.614</v>
      </c>
      <c r="CP203" s="189"/>
      <c r="CQ203" s="189"/>
      <c r="CR203" s="189"/>
      <c r="CS203" s="189"/>
      <c r="CT203" s="134">
        <f t="shared" ref="CT203:DF203" si="1152">CT173+CT194+CT199</f>
        <v>4771.347</v>
      </c>
      <c r="CU203" s="133">
        <f t="shared" si="1152"/>
        <v>992.792</v>
      </c>
      <c r="CV203" s="133">
        <f t="shared" si="1152"/>
        <v>1097.08</v>
      </c>
      <c r="CW203" s="133">
        <f t="shared" si="1152"/>
        <v>1092.921</v>
      </c>
      <c r="CX203" s="133">
        <f t="shared" si="1152"/>
        <v>1767.413</v>
      </c>
      <c r="CY203" s="134">
        <f t="shared" si="1152"/>
        <v>4950.206</v>
      </c>
      <c r="CZ203" s="133">
        <f t="shared" si="1152"/>
        <v>1037.091</v>
      </c>
      <c r="DA203" s="133">
        <f t="shared" si="1152"/>
        <v>1084.354</v>
      </c>
      <c r="DB203" s="133">
        <f t="shared" si="1152"/>
        <v>981.861</v>
      </c>
      <c r="DC203" s="133">
        <f t="shared" si="1152"/>
        <v>1484.235</v>
      </c>
      <c r="DD203" s="134">
        <f t="shared" si="1152"/>
        <v>4587.541</v>
      </c>
      <c r="DE203" s="133">
        <f t="shared" si="1152"/>
        <v>891.679</v>
      </c>
      <c r="DF203" s="133">
        <f t="shared" si="1152"/>
        <v>1049.308</v>
      </c>
      <c r="DG203" s="133"/>
      <c r="DH203" s="133"/>
      <c r="DI203" s="134"/>
      <c r="DJ203" s="133"/>
      <c r="DK203" s="133"/>
      <c r="DL203" s="133"/>
      <c r="DM203" s="133"/>
      <c r="DN203" s="134"/>
      <c r="DO203" s="133"/>
      <c r="DP203" s="133"/>
      <c r="DQ203" s="133"/>
      <c r="DR203" s="133"/>
      <c r="DS203" s="134"/>
    </row>
    <row r="204" s="3" customFormat="1" spans="2:123">
      <c r="B204" s="144" t="s">
        <v>370</v>
      </c>
      <c r="C204" s="284"/>
      <c r="D204" s="189"/>
      <c r="E204" s="189"/>
      <c r="F204" s="189"/>
      <c r="G204" s="189"/>
      <c r="H204" s="188"/>
      <c r="I204" s="189"/>
      <c r="J204" s="189"/>
      <c r="K204" s="189"/>
      <c r="L204" s="189"/>
      <c r="M204" s="188"/>
      <c r="N204" s="189"/>
      <c r="O204" s="189"/>
      <c r="P204" s="189"/>
      <c r="Q204" s="189"/>
      <c r="R204" s="188"/>
      <c r="S204" s="189"/>
      <c r="T204" s="189"/>
      <c r="U204" s="189"/>
      <c r="V204" s="189"/>
      <c r="W204" s="188"/>
      <c r="X204" s="189"/>
      <c r="Y204" s="189"/>
      <c r="Z204" s="195"/>
      <c r="AA204" s="195"/>
      <c r="AB204" s="188"/>
      <c r="AC204" s="195"/>
      <c r="AD204" s="195"/>
      <c r="AE204" s="195"/>
      <c r="AF204" s="195"/>
      <c r="AG204" s="194"/>
      <c r="AH204" s="195"/>
      <c r="AI204" s="195"/>
      <c r="AJ204" s="195"/>
      <c r="AK204" s="195"/>
      <c r="AL204" s="194"/>
      <c r="AM204" s="195"/>
      <c r="AN204" s="195"/>
      <c r="AO204" s="195"/>
      <c r="AP204" s="195"/>
      <c r="AQ204" s="194"/>
      <c r="AR204" s="195"/>
      <c r="AS204" s="195"/>
      <c r="AT204" s="195"/>
      <c r="AU204" s="195"/>
      <c r="AV204" s="194"/>
      <c r="AW204" s="195"/>
      <c r="AX204" s="195"/>
      <c r="AY204" s="195"/>
      <c r="AZ204" s="195"/>
      <c r="BA204" s="194"/>
      <c r="BB204" s="195"/>
      <c r="BC204" s="195"/>
      <c r="BD204" s="195"/>
      <c r="BE204" s="195"/>
      <c r="BF204" s="194"/>
      <c r="BG204" s="195"/>
      <c r="BH204" s="195"/>
      <c r="BI204" s="195"/>
      <c r="BJ204" s="195"/>
      <c r="BK204" s="194"/>
      <c r="BL204" s="195"/>
      <c r="BM204" s="195"/>
      <c r="BN204" s="195"/>
      <c r="BO204" s="195"/>
      <c r="BP204" s="194"/>
      <c r="BQ204" s="195"/>
      <c r="BR204" s="195"/>
      <c r="BS204" s="195"/>
      <c r="BT204" s="120"/>
      <c r="BU204" s="119"/>
      <c r="BV204" s="120"/>
      <c r="BW204" s="120"/>
      <c r="BX204" s="120"/>
      <c r="BY204" s="189"/>
      <c r="BZ204" s="188"/>
      <c r="CA204" s="189"/>
      <c r="CB204" s="189"/>
      <c r="CC204" s="189"/>
      <c r="CD204" s="189"/>
      <c r="CE204" s="188"/>
      <c r="CF204" s="189"/>
      <c r="CG204" s="189"/>
      <c r="CH204" s="189"/>
      <c r="CI204" s="189"/>
      <c r="CJ204" s="188"/>
      <c r="CK204" s="189"/>
      <c r="CL204" s="189"/>
      <c r="CM204" s="189"/>
      <c r="CN204" s="189"/>
      <c r="CO204" s="140" t="s">
        <v>208</v>
      </c>
      <c r="CP204" s="189"/>
      <c r="CQ204" s="189"/>
      <c r="CR204" s="189"/>
      <c r="CS204" s="189"/>
      <c r="CT204" s="140">
        <f>CT203/CO203-1</f>
        <v>0.169558443519412</v>
      </c>
      <c r="CU204" s="291" t="s">
        <v>208</v>
      </c>
      <c r="CV204" s="291" t="s">
        <v>208</v>
      </c>
      <c r="CW204" s="291" t="s">
        <v>208</v>
      </c>
      <c r="CX204" s="291" t="s">
        <v>208</v>
      </c>
      <c r="CY204" s="140">
        <f t="shared" ref="CY204:DE204" si="1153">CY203/CT203-1</f>
        <v>0.0374860600161757</v>
      </c>
      <c r="CZ204" s="291">
        <f t="shared" si="1153"/>
        <v>0.0446206254683763</v>
      </c>
      <c r="DA204" s="291">
        <f t="shared" si="1153"/>
        <v>-0.0115998833266486</v>
      </c>
      <c r="DB204" s="291">
        <f t="shared" si="1153"/>
        <v>-0.101617591756403</v>
      </c>
      <c r="DC204" s="291">
        <f t="shared" si="1153"/>
        <v>-0.160221747831435</v>
      </c>
      <c r="DD204" s="140">
        <f t="shared" si="1153"/>
        <v>-0.0732626076571361</v>
      </c>
      <c r="DE204" s="291">
        <f t="shared" si="1153"/>
        <v>-0.140211418284413</v>
      </c>
      <c r="DF204" s="291">
        <f t="shared" ref="DF204" si="1154">DF203/DA203-1</f>
        <v>-0.0323197037129943</v>
      </c>
      <c r="DG204" s="291"/>
      <c r="DH204" s="291"/>
      <c r="DI204" s="140"/>
      <c r="DJ204" s="291"/>
      <c r="DK204" s="291"/>
      <c r="DL204" s="291"/>
      <c r="DM204" s="291"/>
      <c r="DN204" s="140"/>
      <c r="DO204" s="291"/>
      <c r="DP204" s="291"/>
      <c r="DQ204" s="291"/>
      <c r="DR204" s="291"/>
      <c r="DS204" s="140"/>
    </row>
    <row r="205" s="3" customFormat="1" spans="2:123">
      <c r="B205" s="144" t="s">
        <v>322</v>
      </c>
      <c r="C205" s="284"/>
      <c r="D205" s="189"/>
      <c r="E205" s="189"/>
      <c r="F205" s="189"/>
      <c r="G205" s="189"/>
      <c r="H205" s="188"/>
      <c r="I205" s="189"/>
      <c r="J205" s="189"/>
      <c r="K205" s="189"/>
      <c r="L205" s="189"/>
      <c r="M205" s="188"/>
      <c r="N205" s="189"/>
      <c r="O205" s="189"/>
      <c r="P205" s="189"/>
      <c r="Q205" s="189"/>
      <c r="R205" s="188"/>
      <c r="S205" s="189"/>
      <c r="T205" s="189"/>
      <c r="U205" s="189"/>
      <c r="V205" s="189"/>
      <c r="W205" s="188"/>
      <c r="X205" s="189"/>
      <c r="Y205" s="189"/>
      <c r="Z205" s="195"/>
      <c r="AA205" s="195"/>
      <c r="AB205" s="188"/>
      <c r="AC205" s="195"/>
      <c r="AD205" s="195"/>
      <c r="AE205" s="195"/>
      <c r="AF205" s="195"/>
      <c r="AG205" s="194"/>
      <c r="AH205" s="195"/>
      <c r="AI205" s="195"/>
      <c r="AJ205" s="195"/>
      <c r="AK205" s="195"/>
      <c r="AL205" s="194"/>
      <c r="AM205" s="195"/>
      <c r="AN205" s="195"/>
      <c r="AO205" s="195"/>
      <c r="AP205" s="195"/>
      <c r="AQ205" s="194"/>
      <c r="AR205" s="195"/>
      <c r="AS205" s="195"/>
      <c r="AT205" s="195"/>
      <c r="AU205" s="195"/>
      <c r="AV205" s="194"/>
      <c r="AW205" s="195"/>
      <c r="AX205" s="195"/>
      <c r="AY205" s="195"/>
      <c r="AZ205" s="195"/>
      <c r="BA205" s="194"/>
      <c r="BB205" s="195"/>
      <c r="BC205" s="195"/>
      <c r="BD205" s="195"/>
      <c r="BE205" s="195"/>
      <c r="BF205" s="194"/>
      <c r="BG205" s="195"/>
      <c r="BH205" s="195"/>
      <c r="BI205" s="195"/>
      <c r="BJ205" s="195"/>
      <c r="BK205" s="194"/>
      <c r="BL205" s="195"/>
      <c r="BM205" s="195"/>
      <c r="BN205" s="195"/>
      <c r="BO205" s="195"/>
      <c r="BP205" s="194"/>
      <c r="BQ205" s="195"/>
      <c r="BR205" s="195"/>
      <c r="BS205" s="195"/>
      <c r="BT205" s="120"/>
      <c r="BU205" s="119"/>
      <c r="BV205" s="120"/>
      <c r="BW205" s="120"/>
      <c r="BX205" s="120"/>
      <c r="BY205" s="189"/>
      <c r="BZ205" s="188"/>
      <c r="CA205" s="189"/>
      <c r="CB205" s="189"/>
      <c r="CC205" s="189"/>
      <c r="CD205" s="189"/>
      <c r="CE205" s="188"/>
      <c r="CF205" s="189"/>
      <c r="CG205" s="189"/>
      <c r="CH205" s="189"/>
      <c r="CI205" s="189"/>
      <c r="CJ205" s="188"/>
      <c r="CK205" s="189"/>
      <c r="CL205" s="189"/>
      <c r="CM205" s="189"/>
      <c r="CN205" s="189"/>
      <c r="CO205" s="140">
        <f>CO203/CO173</f>
        <v>0.598407264647477</v>
      </c>
      <c r="CP205" s="189"/>
      <c r="CQ205" s="189"/>
      <c r="CR205" s="189"/>
      <c r="CS205" s="189"/>
      <c r="CT205" s="140">
        <f t="shared" ref="CT205:DF205" si="1155">CT203/CT173</f>
        <v>0.625205411099334</v>
      </c>
      <c r="CU205" s="291">
        <f t="shared" si="1155"/>
        <v>0.611979307930152</v>
      </c>
      <c r="CV205" s="291">
        <f t="shared" si="1155"/>
        <v>0.629986913076759</v>
      </c>
      <c r="CW205" s="291">
        <f t="shared" si="1155"/>
        <v>0.617336258502402</v>
      </c>
      <c r="CX205" s="291">
        <f t="shared" si="1155"/>
        <v>0.632557012566225</v>
      </c>
      <c r="CY205" s="140">
        <f t="shared" si="1155"/>
        <v>0.624383021726616</v>
      </c>
      <c r="CZ205" s="291">
        <f t="shared" si="1155"/>
        <v>0.619322233090762</v>
      </c>
      <c r="DA205" s="291">
        <f t="shared" si="1155"/>
        <v>0.616735021900027</v>
      </c>
      <c r="DB205" s="291">
        <f t="shared" si="1155"/>
        <v>0.566442365272052</v>
      </c>
      <c r="DC205" s="291">
        <f t="shared" si="1155"/>
        <v>0.553635792929728</v>
      </c>
      <c r="DD205" s="140">
        <f t="shared" si="1155"/>
        <v>0.584620272296166</v>
      </c>
      <c r="DE205" s="291">
        <f t="shared" si="1155"/>
        <v>0.550008327113699</v>
      </c>
      <c r="DF205" s="291">
        <f t="shared" si="1155"/>
        <v>0.649014208558783</v>
      </c>
      <c r="DG205" s="291"/>
      <c r="DH205" s="291"/>
      <c r="DI205" s="140"/>
      <c r="DJ205" s="291"/>
      <c r="DK205" s="291"/>
      <c r="DL205" s="291"/>
      <c r="DM205" s="291"/>
      <c r="DN205" s="140"/>
      <c r="DO205" s="291"/>
      <c r="DP205" s="291"/>
      <c r="DQ205" s="291"/>
      <c r="DR205" s="291"/>
      <c r="DS205" s="140"/>
    </row>
    <row r="206" s="3" customFormat="1" spans="2:123">
      <c r="B206" s="144" t="s">
        <v>379</v>
      </c>
      <c r="C206" s="284"/>
      <c r="D206" s="189"/>
      <c r="E206" s="189"/>
      <c r="F206" s="189"/>
      <c r="G206" s="189"/>
      <c r="H206" s="188"/>
      <c r="I206" s="189"/>
      <c r="J206" s="189"/>
      <c r="K206" s="189"/>
      <c r="L206" s="189"/>
      <c r="M206" s="188"/>
      <c r="N206" s="189"/>
      <c r="O206" s="189"/>
      <c r="P206" s="189"/>
      <c r="Q206" s="189"/>
      <c r="R206" s="188"/>
      <c r="S206" s="189"/>
      <c r="T206" s="189"/>
      <c r="U206" s="189"/>
      <c r="V206" s="189"/>
      <c r="W206" s="188"/>
      <c r="X206" s="189"/>
      <c r="Y206" s="189"/>
      <c r="Z206" s="195"/>
      <c r="AA206" s="195"/>
      <c r="AB206" s="188"/>
      <c r="AC206" s="195"/>
      <c r="AD206" s="195"/>
      <c r="AE206" s="195"/>
      <c r="AF206" s="195"/>
      <c r="AG206" s="194"/>
      <c r="AH206" s="195"/>
      <c r="AI206" s="195"/>
      <c r="AJ206" s="195"/>
      <c r="AK206" s="195"/>
      <c r="AL206" s="194"/>
      <c r="AM206" s="195"/>
      <c r="AN206" s="195"/>
      <c r="AO206" s="195"/>
      <c r="AP206" s="195"/>
      <c r="AQ206" s="194"/>
      <c r="AR206" s="195"/>
      <c r="AS206" s="195"/>
      <c r="AT206" s="195"/>
      <c r="AU206" s="195"/>
      <c r="AV206" s="194"/>
      <c r="AW206" s="195"/>
      <c r="AX206" s="195"/>
      <c r="AY206" s="195"/>
      <c r="AZ206" s="195"/>
      <c r="BA206" s="194"/>
      <c r="BB206" s="195"/>
      <c r="BC206" s="195"/>
      <c r="BD206" s="195"/>
      <c r="BE206" s="195"/>
      <c r="BF206" s="194"/>
      <c r="BG206" s="195"/>
      <c r="BH206" s="195"/>
      <c r="BI206" s="195"/>
      <c r="BJ206" s="195"/>
      <c r="BK206" s="194"/>
      <c r="BL206" s="195"/>
      <c r="BM206" s="195"/>
      <c r="BN206" s="195"/>
      <c r="BO206" s="195"/>
      <c r="BP206" s="194"/>
      <c r="BQ206" s="195"/>
      <c r="BR206" s="195"/>
      <c r="BS206" s="195"/>
      <c r="BT206" s="120"/>
      <c r="BU206" s="119"/>
      <c r="BV206" s="120"/>
      <c r="BW206" s="120"/>
      <c r="BX206" s="120"/>
      <c r="BY206" s="189"/>
      <c r="BZ206" s="188"/>
      <c r="CA206" s="189"/>
      <c r="CB206" s="189"/>
      <c r="CC206" s="189"/>
      <c r="CD206" s="189"/>
      <c r="CE206" s="188"/>
      <c r="CF206" s="189"/>
      <c r="CG206" s="189"/>
      <c r="CH206" s="189"/>
      <c r="CI206" s="189"/>
      <c r="CJ206" s="188"/>
      <c r="CK206" s="189"/>
      <c r="CL206" s="189"/>
      <c r="CM206" s="189"/>
      <c r="CN206" s="189"/>
      <c r="CO206" s="223" t="s">
        <v>208</v>
      </c>
      <c r="CP206" s="189"/>
      <c r="CQ206" s="189"/>
      <c r="CR206" s="189"/>
      <c r="CS206" s="189"/>
      <c r="CT206" s="329">
        <f>(CT205-CO205)*100*100</f>
        <v>267.981464518573</v>
      </c>
      <c r="CU206" s="330" t="s">
        <v>208</v>
      </c>
      <c r="CV206" s="330" t="s">
        <v>208</v>
      </c>
      <c r="CW206" s="330" t="s">
        <v>208</v>
      </c>
      <c r="CX206" s="330" t="s">
        <v>208</v>
      </c>
      <c r="CY206" s="329">
        <f t="shared" ref="CY206:DE206" si="1156">(CY205-CT205)*100*100</f>
        <v>-8.2238937271828</v>
      </c>
      <c r="CZ206" s="330">
        <f t="shared" si="1156"/>
        <v>73.4292516061008</v>
      </c>
      <c r="DA206" s="330">
        <f t="shared" si="1156"/>
        <v>-132.518911767319</v>
      </c>
      <c r="DB206" s="330">
        <f t="shared" si="1156"/>
        <v>-508.938932303502</v>
      </c>
      <c r="DC206" s="330">
        <f t="shared" si="1156"/>
        <v>-789.212196364967</v>
      </c>
      <c r="DD206" s="329">
        <f t="shared" si="1156"/>
        <v>-397.627494304494</v>
      </c>
      <c r="DE206" s="330">
        <f t="shared" si="1156"/>
        <v>-693.139059770629</v>
      </c>
      <c r="DF206" s="330">
        <f t="shared" ref="DF206" si="1157">(DF205-DA205)*100*100</f>
        <v>322.791866587553</v>
      </c>
      <c r="DG206" s="330"/>
      <c r="DH206" s="330"/>
      <c r="DI206" s="329"/>
      <c r="DJ206" s="330"/>
      <c r="DK206" s="330"/>
      <c r="DL206" s="330"/>
      <c r="DM206" s="330"/>
      <c r="DN206" s="329"/>
      <c r="DO206" s="330"/>
      <c r="DP206" s="330"/>
      <c r="DQ206" s="330"/>
      <c r="DR206" s="330"/>
      <c r="DS206" s="329"/>
    </row>
    <row r="207" s="3" customFormat="1" spans="2:123">
      <c r="B207" s="144"/>
      <c r="C207" s="284"/>
      <c r="D207" s="189"/>
      <c r="E207" s="189"/>
      <c r="F207" s="189"/>
      <c r="G207" s="189"/>
      <c r="H207" s="188"/>
      <c r="I207" s="189"/>
      <c r="J207" s="189"/>
      <c r="K207" s="189"/>
      <c r="L207" s="189"/>
      <c r="M207" s="188"/>
      <c r="N207" s="189"/>
      <c r="O207" s="189"/>
      <c r="P207" s="189"/>
      <c r="Q207" s="189"/>
      <c r="R207" s="188"/>
      <c r="S207" s="189"/>
      <c r="T207" s="189"/>
      <c r="U207" s="189"/>
      <c r="V207" s="189"/>
      <c r="W207" s="188"/>
      <c r="X207" s="189"/>
      <c r="Y207" s="189"/>
      <c r="Z207" s="195"/>
      <c r="AA207" s="195"/>
      <c r="AB207" s="188"/>
      <c r="AC207" s="195"/>
      <c r="AD207" s="195"/>
      <c r="AE207" s="195"/>
      <c r="AF207" s="195"/>
      <c r="AG207" s="194"/>
      <c r="AH207" s="195"/>
      <c r="AI207" s="195"/>
      <c r="AJ207" s="195"/>
      <c r="AK207" s="195"/>
      <c r="AL207" s="194"/>
      <c r="AM207" s="195"/>
      <c r="AN207" s="195"/>
      <c r="AO207" s="195"/>
      <c r="AP207" s="195"/>
      <c r="AQ207" s="194"/>
      <c r="AR207" s="195"/>
      <c r="AS207" s="195"/>
      <c r="AT207" s="195"/>
      <c r="AU207" s="195"/>
      <c r="AV207" s="194"/>
      <c r="AW207" s="195"/>
      <c r="AX207" s="195"/>
      <c r="AY207" s="195"/>
      <c r="AZ207" s="195"/>
      <c r="BA207" s="194"/>
      <c r="BB207" s="195"/>
      <c r="BC207" s="195"/>
      <c r="BD207" s="195"/>
      <c r="BE207" s="195"/>
      <c r="BF207" s="194"/>
      <c r="BG207" s="195"/>
      <c r="BH207" s="195"/>
      <c r="BI207" s="195"/>
      <c r="BJ207" s="195"/>
      <c r="BK207" s="194"/>
      <c r="BL207" s="195"/>
      <c r="BM207" s="195"/>
      <c r="BN207" s="195"/>
      <c r="BO207" s="195"/>
      <c r="BP207" s="194"/>
      <c r="BQ207" s="195"/>
      <c r="BR207" s="195"/>
      <c r="BS207" s="195"/>
      <c r="BT207" s="120"/>
      <c r="BU207" s="119"/>
      <c r="BV207" s="120"/>
      <c r="BW207" s="120"/>
      <c r="BX207" s="120"/>
      <c r="BY207" s="189"/>
      <c r="BZ207" s="188"/>
      <c r="CA207" s="189"/>
      <c r="CB207" s="189"/>
      <c r="CC207" s="189"/>
      <c r="CD207" s="189"/>
      <c r="CE207" s="188"/>
      <c r="CF207" s="189"/>
      <c r="CG207" s="189"/>
      <c r="CH207" s="189"/>
      <c r="CI207" s="189"/>
      <c r="CJ207" s="188"/>
      <c r="CK207" s="189"/>
      <c r="CL207" s="189"/>
      <c r="CM207" s="189"/>
      <c r="CN207" s="189"/>
      <c r="CO207" s="188"/>
      <c r="CP207" s="189"/>
      <c r="CQ207" s="189"/>
      <c r="CR207" s="189"/>
      <c r="CS207" s="189"/>
      <c r="CT207" s="188"/>
      <c r="CU207" s="335"/>
      <c r="CV207" s="335"/>
      <c r="CW207" s="335"/>
      <c r="CX207" s="335"/>
      <c r="CY207" s="336"/>
      <c r="CZ207" s="224"/>
      <c r="DA207" s="224"/>
      <c r="DB207" s="189"/>
      <c r="DC207" s="189"/>
      <c r="DD207" s="188"/>
      <c r="DE207" s="224"/>
      <c r="DF207" s="189"/>
      <c r="DG207" s="239"/>
      <c r="DH207" s="239"/>
      <c r="DI207" s="238"/>
      <c r="DJ207" s="239"/>
      <c r="DK207" s="239"/>
      <c r="DL207" s="239"/>
      <c r="DM207" s="239"/>
      <c r="DN207" s="238"/>
      <c r="DO207" s="239"/>
      <c r="DP207" s="239"/>
      <c r="DQ207" s="239"/>
      <c r="DR207" s="239"/>
      <c r="DS207" s="238"/>
    </row>
    <row r="208" s="3" customFormat="1" hidden="1" outlineLevel="1" spans="2:123">
      <c r="B208" s="33" t="s">
        <v>323</v>
      </c>
      <c r="C208" s="284"/>
      <c r="D208" s="189"/>
      <c r="E208" s="189"/>
      <c r="F208" s="189"/>
      <c r="G208" s="189"/>
      <c r="H208" s="188"/>
      <c r="I208" s="189"/>
      <c r="J208" s="189"/>
      <c r="K208" s="189"/>
      <c r="L208" s="189"/>
      <c r="M208" s="188"/>
      <c r="N208" s="189"/>
      <c r="O208" s="189"/>
      <c r="P208" s="189"/>
      <c r="Q208" s="189"/>
      <c r="R208" s="188"/>
      <c r="S208" s="189"/>
      <c r="T208" s="189"/>
      <c r="U208" s="189"/>
      <c r="V208" s="189"/>
      <c r="W208" s="188"/>
      <c r="X208" s="189"/>
      <c r="Y208" s="189"/>
      <c r="Z208" s="195"/>
      <c r="AA208" s="195"/>
      <c r="AB208" s="188"/>
      <c r="AC208" s="195"/>
      <c r="AD208" s="195"/>
      <c r="AE208" s="195"/>
      <c r="AF208" s="195"/>
      <c r="AG208" s="194"/>
      <c r="AH208" s="195"/>
      <c r="AI208" s="195"/>
      <c r="AJ208" s="195"/>
      <c r="AK208" s="195"/>
      <c r="AL208" s="194"/>
      <c r="AM208" s="195"/>
      <c r="AN208" s="195"/>
      <c r="AO208" s="195"/>
      <c r="AP208" s="195"/>
      <c r="AQ208" s="194"/>
      <c r="AR208" s="195"/>
      <c r="AS208" s="195"/>
      <c r="AT208" s="195"/>
      <c r="AU208" s="195"/>
      <c r="AV208" s="194"/>
      <c r="AW208" s="195"/>
      <c r="AX208" s="195"/>
      <c r="AY208" s="195"/>
      <c r="AZ208" s="195"/>
      <c r="BA208" s="194"/>
      <c r="BB208" s="195"/>
      <c r="BC208" s="195"/>
      <c r="BD208" s="195"/>
      <c r="BE208" s="195"/>
      <c r="BF208" s="194"/>
      <c r="BG208" s="195"/>
      <c r="BH208" s="195"/>
      <c r="BI208" s="195"/>
      <c r="BJ208" s="195"/>
      <c r="BK208" s="194"/>
      <c r="BL208" s="195"/>
      <c r="BM208" s="195"/>
      <c r="BN208" s="195"/>
      <c r="BO208" s="195"/>
      <c r="BP208" s="194"/>
      <c r="BQ208" s="195"/>
      <c r="BR208" s="195"/>
      <c r="BS208" s="195"/>
      <c r="BT208" s="120"/>
      <c r="BU208" s="119"/>
      <c r="BV208" s="120"/>
      <c r="BW208" s="120"/>
      <c r="BX208" s="120"/>
      <c r="BY208" s="189"/>
      <c r="BZ208" s="188"/>
      <c r="CA208" s="189"/>
      <c r="CB208" s="189"/>
      <c r="CC208" s="189"/>
      <c r="CD208" s="189"/>
      <c r="CE208" s="188"/>
      <c r="CF208" s="189"/>
      <c r="CG208" s="189"/>
      <c r="CH208" s="189"/>
      <c r="CI208" s="189"/>
      <c r="CJ208" s="188"/>
      <c r="CK208" s="189"/>
      <c r="CL208" s="189"/>
      <c r="CM208" s="189"/>
      <c r="CN208" s="189"/>
      <c r="CO208" s="124">
        <f>CO213-CO203</f>
        <v>-1575.874</v>
      </c>
      <c r="CP208" s="189"/>
      <c r="CQ208" s="189"/>
      <c r="CR208" s="189"/>
      <c r="CS208" s="189"/>
      <c r="CT208" s="124">
        <f t="shared" ref="CT208:DD208" si="1158">CT213-CT203</f>
        <v>-1834.163</v>
      </c>
      <c r="CU208" s="125">
        <f t="shared" si="1158"/>
        <v>-427.952</v>
      </c>
      <c r="CV208" s="125">
        <f t="shared" si="1158"/>
        <v>-427.653</v>
      </c>
      <c r="CW208" s="125">
        <f t="shared" si="1158"/>
        <v>-437.982</v>
      </c>
      <c r="CX208" s="125">
        <f t="shared" si="1158"/>
        <v>-641.062</v>
      </c>
      <c r="CY208" s="124">
        <f t="shared" si="1158"/>
        <v>-1934.649</v>
      </c>
      <c r="CZ208" s="125">
        <f t="shared" si="1158"/>
        <v>-447.76</v>
      </c>
      <c r="DA208" s="125">
        <f t="shared" si="1158"/>
        <v>-464.96</v>
      </c>
      <c r="DB208" s="125">
        <f t="shared" si="1158"/>
        <v>-464.373</v>
      </c>
      <c r="DC208" s="125">
        <f t="shared" si="1158"/>
        <v>-649.79</v>
      </c>
      <c r="DD208" s="124">
        <f t="shared" si="1158"/>
        <v>-2026.883</v>
      </c>
      <c r="DE208" s="125">
        <f t="shared" ref="DE208" si="1159">DE213-DE203</f>
        <v>-483.199</v>
      </c>
      <c r="DF208" s="125">
        <f t="shared" ref="DF208" si="1160">DF213-DF203</f>
        <v>-454.895</v>
      </c>
      <c r="DG208" s="126"/>
      <c r="DH208" s="126"/>
      <c r="DI208" s="127"/>
      <c r="DJ208" s="126"/>
      <c r="DK208" s="126"/>
      <c r="DL208" s="126"/>
      <c r="DM208" s="126"/>
      <c r="DN208" s="127"/>
      <c r="DO208" s="126"/>
      <c r="DP208" s="126"/>
      <c r="DQ208" s="126"/>
      <c r="DR208" s="126"/>
      <c r="DS208" s="127"/>
    </row>
    <row r="209" s="3" customFormat="1" hidden="1" outlineLevel="1" spans="2:123">
      <c r="B209" s="144" t="s">
        <v>370</v>
      </c>
      <c r="C209" s="284"/>
      <c r="D209" s="189"/>
      <c r="E209" s="189"/>
      <c r="F209" s="189"/>
      <c r="G209" s="189"/>
      <c r="H209" s="188"/>
      <c r="I209" s="189"/>
      <c r="J209" s="189"/>
      <c r="K209" s="189"/>
      <c r="L209" s="189"/>
      <c r="M209" s="188"/>
      <c r="N209" s="189"/>
      <c r="O209" s="189"/>
      <c r="P209" s="189"/>
      <c r="Q209" s="189"/>
      <c r="R209" s="188"/>
      <c r="S209" s="189"/>
      <c r="T209" s="189"/>
      <c r="U209" s="189"/>
      <c r="V209" s="189"/>
      <c r="W209" s="188"/>
      <c r="X209" s="189"/>
      <c r="Y209" s="189"/>
      <c r="Z209" s="195"/>
      <c r="AA209" s="195"/>
      <c r="AB209" s="188"/>
      <c r="AC209" s="195"/>
      <c r="AD209" s="195"/>
      <c r="AE209" s="195"/>
      <c r="AF209" s="195"/>
      <c r="AG209" s="194"/>
      <c r="AH209" s="195"/>
      <c r="AI209" s="195"/>
      <c r="AJ209" s="195"/>
      <c r="AK209" s="195"/>
      <c r="AL209" s="194"/>
      <c r="AM209" s="195"/>
      <c r="AN209" s="195"/>
      <c r="AO209" s="195"/>
      <c r="AP209" s="195"/>
      <c r="AQ209" s="194"/>
      <c r="AR209" s="195"/>
      <c r="AS209" s="195"/>
      <c r="AT209" s="195"/>
      <c r="AU209" s="195"/>
      <c r="AV209" s="194"/>
      <c r="AW209" s="195"/>
      <c r="AX209" s="195"/>
      <c r="AY209" s="195"/>
      <c r="AZ209" s="195"/>
      <c r="BA209" s="194"/>
      <c r="BB209" s="195"/>
      <c r="BC209" s="195"/>
      <c r="BD209" s="195"/>
      <c r="BE209" s="195"/>
      <c r="BF209" s="194"/>
      <c r="BG209" s="195"/>
      <c r="BH209" s="195"/>
      <c r="BI209" s="195"/>
      <c r="BJ209" s="195"/>
      <c r="BK209" s="194"/>
      <c r="BL209" s="195"/>
      <c r="BM209" s="195"/>
      <c r="BN209" s="195"/>
      <c r="BO209" s="195"/>
      <c r="BP209" s="194"/>
      <c r="BQ209" s="195"/>
      <c r="BR209" s="195"/>
      <c r="BS209" s="195"/>
      <c r="BT209" s="120"/>
      <c r="BU209" s="119"/>
      <c r="BV209" s="120"/>
      <c r="BW209" s="120"/>
      <c r="BX209" s="120"/>
      <c r="BY209" s="189"/>
      <c r="BZ209" s="188"/>
      <c r="CA209" s="189"/>
      <c r="CB209" s="189"/>
      <c r="CC209" s="189"/>
      <c r="CD209" s="189"/>
      <c r="CE209" s="188"/>
      <c r="CF209" s="189"/>
      <c r="CG209" s="189"/>
      <c r="CH209" s="189"/>
      <c r="CI209" s="189"/>
      <c r="CJ209" s="188"/>
      <c r="CK209" s="189"/>
      <c r="CL209" s="189"/>
      <c r="CM209" s="189"/>
      <c r="CN209" s="189"/>
      <c r="CO209" s="749" t="s">
        <v>208</v>
      </c>
      <c r="CP209" s="189"/>
      <c r="CQ209" s="189"/>
      <c r="CR209" s="189"/>
      <c r="CS209" s="189"/>
      <c r="CT209" s="140">
        <f>CT208/CO208-1</f>
        <v>0.16390206323602</v>
      </c>
      <c r="CU209" s="291" t="s">
        <v>208</v>
      </c>
      <c r="CV209" s="291" t="s">
        <v>208</v>
      </c>
      <c r="CW209" s="291" t="s">
        <v>208</v>
      </c>
      <c r="CX209" s="291" t="s">
        <v>208</v>
      </c>
      <c r="CY209" s="140">
        <f t="shared" ref="CY209:DE209" si="1161">CY208/CT208-1</f>
        <v>0.0547857524113182</v>
      </c>
      <c r="CZ209" s="291">
        <f t="shared" si="1161"/>
        <v>0.0462855647362328</v>
      </c>
      <c r="DA209" s="291">
        <f t="shared" si="1161"/>
        <v>0.0872366147320383</v>
      </c>
      <c r="DB209" s="291">
        <f t="shared" si="1161"/>
        <v>0.0602559009274353</v>
      </c>
      <c r="DC209" s="291">
        <f t="shared" si="1161"/>
        <v>0.0136149077624321</v>
      </c>
      <c r="DD209" s="140">
        <f t="shared" si="1161"/>
        <v>0.0476747978573886</v>
      </c>
      <c r="DE209" s="291">
        <f t="shared" si="1161"/>
        <v>0.079147311059496</v>
      </c>
      <c r="DF209" s="291">
        <f t="shared" ref="DF209" si="1162">DF208/DA208-1</f>
        <v>-0.0216470233998629</v>
      </c>
      <c r="DG209" s="291"/>
      <c r="DH209" s="291"/>
      <c r="DI209" s="140"/>
      <c r="DJ209" s="291"/>
      <c r="DK209" s="291"/>
      <c r="DL209" s="291"/>
      <c r="DM209" s="291"/>
      <c r="DN209" s="140"/>
      <c r="DO209" s="291"/>
      <c r="DP209" s="291"/>
      <c r="DQ209" s="291"/>
      <c r="DR209" s="291"/>
      <c r="DS209" s="140"/>
    </row>
    <row r="210" s="3" customFormat="1" hidden="1" outlineLevel="1" spans="2:123">
      <c r="B210" s="144" t="s">
        <v>381</v>
      </c>
      <c r="C210" s="284"/>
      <c r="D210" s="189"/>
      <c r="E210" s="189"/>
      <c r="F210" s="189"/>
      <c r="G210" s="189"/>
      <c r="H210" s="188"/>
      <c r="I210" s="189"/>
      <c r="J210" s="189"/>
      <c r="K210" s="189"/>
      <c r="L210" s="189"/>
      <c r="M210" s="188"/>
      <c r="N210" s="189"/>
      <c r="O210" s="189"/>
      <c r="P210" s="189"/>
      <c r="Q210" s="189"/>
      <c r="R210" s="188"/>
      <c r="S210" s="189"/>
      <c r="T210" s="189"/>
      <c r="U210" s="189"/>
      <c r="V210" s="189"/>
      <c r="W210" s="188"/>
      <c r="X210" s="189"/>
      <c r="Y210" s="189"/>
      <c r="Z210" s="195"/>
      <c r="AA210" s="195"/>
      <c r="AB210" s="188"/>
      <c r="AC210" s="195"/>
      <c r="AD210" s="195"/>
      <c r="AE210" s="195"/>
      <c r="AF210" s="195"/>
      <c r="AG210" s="194"/>
      <c r="AH210" s="195"/>
      <c r="AI210" s="195"/>
      <c r="AJ210" s="195"/>
      <c r="AK210" s="195"/>
      <c r="AL210" s="194"/>
      <c r="AM210" s="195"/>
      <c r="AN210" s="195"/>
      <c r="AO210" s="195"/>
      <c r="AP210" s="195"/>
      <c r="AQ210" s="194"/>
      <c r="AR210" s="195"/>
      <c r="AS210" s="195"/>
      <c r="AT210" s="195"/>
      <c r="AU210" s="195"/>
      <c r="AV210" s="194"/>
      <c r="AW210" s="195"/>
      <c r="AX210" s="195"/>
      <c r="AY210" s="195"/>
      <c r="AZ210" s="195"/>
      <c r="BA210" s="194"/>
      <c r="BB210" s="195"/>
      <c r="BC210" s="195"/>
      <c r="BD210" s="195"/>
      <c r="BE210" s="195"/>
      <c r="BF210" s="194"/>
      <c r="BG210" s="195"/>
      <c r="BH210" s="195"/>
      <c r="BI210" s="195"/>
      <c r="BJ210" s="195"/>
      <c r="BK210" s="194"/>
      <c r="BL210" s="195"/>
      <c r="BM210" s="195"/>
      <c r="BN210" s="195"/>
      <c r="BO210" s="195"/>
      <c r="BP210" s="194"/>
      <c r="BQ210" s="195"/>
      <c r="BR210" s="195"/>
      <c r="BS210" s="195"/>
      <c r="BT210" s="120"/>
      <c r="BU210" s="119"/>
      <c r="BV210" s="120"/>
      <c r="BW210" s="120"/>
      <c r="BX210" s="120"/>
      <c r="BY210" s="189"/>
      <c r="BZ210" s="188"/>
      <c r="CA210" s="189"/>
      <c r="CB210" s="189"/>
      <c r="CC210" s="189"/>
      <c r="CD210" s="189"/>
      <c r="CE210" s="188"/>
      <c r="CF210" s="189"/>
      <c r="CG210" s="189"/>
      <c r="CH210" s="189"/>
      <c r="CI210" s="189"/>
      <c r="CJ210" s="188"/>
      <c r="CK210" s="189"/>
      <c r="CL210" s="189"/>
      <c r="CM210" s="189"/>
      <c r="CN210" s="189"/>
      <c r="CO210" s="140">
        <f>-CO208/CO173</f>
        <v>0.231152861464118</v>
      </c>
      <c r="CP210" s="189"/>
      <c r="CQ210" s="189"/>
      <c r="CR210" s="189"/>
      <c r="CS210" s="189"/>
      <c r="CT210" s="140">
        <f t="shared" ref="CT210:DF210" si="1163">-CT208/CT173</f>
        <v>0.240336456861802</v>
      </c>
      <c r="CU210" s="291">
        <f t="shared" si="1163"/>
        <v>0.263799233663571</v>
      </c>
      <c r="CV210" s="291">
        <f t="shared" si="1163"/>
        <v>0.245575339390031</v>
      </c>
      <c r="CW210" s="291">
        <f t="shared" si="1163"/>
        <v>0.247394065235638</v>
      </c>
      <c r="CX210" s="291">
        <f t="shared" si="1163"/>
        <v>0.229436053480273</v>
      </c>
      <c r="CY210" s="140">
        <f t="shared" si="1163"/>
        <v>0.244022569687075</v>
      </c>
      <c r="CZ210" s="291">
        <f t="shared" si="1163"/>
        <v>0.267389962007885</v>
      </c>
      <c r="DA210" s="291">
        <f t="shared" si="1163"/>
        <v>0.264449723782673</v>
      </c>
      <c r="DB210" s="291">
        <f t="shared" si="1163"/>
        <v>0.26789997819292</v>
      </c>
      <c r="DC210" s="291">
        <f t="shared" si="1163"/>
        <v>0.242378735097749</v>
      </c>
      <c r="DD210" s="140">
        <f t="shared" si="1163"/>
        <v>0.258298921224349</v>
      </c>
      <c r="DE210" s="291">
        <f t="shared" si="1163"/>
        <v>0.298048371278243</v>
      </c>
      <c r="DF210" s="291">
        <f t="shared" si="1163"/>
        <v>0.281360018604973</v>
      </c>
      <c r="DG210" s="291"/>
      <c r="DH210" s="291"/>
      <c r="DI210" s="140"/>
      <c r="DJ210" s="291"/>
      <c r="DK210" s="291"/>
      <c r="DL210" s="291"/>
      <c r="DM210" s="291"/>
      <c r="DN210" s="140"/>
      <c r="DO210" s="291"/>
      <c r="DP210" s="291"/>
      <c r="DQ210" s="291"/>
      <c r="DR210" s="291"/>
      <c r="DS210" s="140"/>
    </row>
    <row r="211" s="3" customFormat="1" hidden="1" outlineLevel="1" spans="2:123">
      <c r="B211" s="144" t="s">
        <v>379</v>
      </c>
      <c r="C211" s="284"/>
      <c r="D211" s="189"/>
      <c r="E211" s="189"/>
      <c r="F211" s="189"/>
      <c r="G211" s="189"/>
      <c r="H211" s="188"/>
      <c r="I211" s="189"/>
      <c r="J211" s="189"/>
      <c r="K211" s="189"/>
      <c r="L211" s="189"/>
      <c r="M211" s="188"/>
      <c r="N211" s="189"/>
      <c r="O211" s="189"/>
      <c r="P211" s="189"/>
      <c r="Q211" s="189"/>
      <c r="R211" s="188"/>
      <c r="S211" s="189"/>
      <c r="T211" s="189"/>
      <c r="U211" s="189"/>
      <c r="V211" s="189"/>
      <c r="W211" s="188"/>
      <c r="X211" s="189"/>
      <c r="Y211" s="189"/>
      <c r="Z211" s="195"/>
      <c r="AA211" s="195"/>
      <c r="AB211" s="188"/>
      <c r="AC211" s="195"/>
      <c r="AD211" s="195"/>
      <c r="AE211" s="195"/>
      <c r="AF211" s="195"/>
      <c r="AG211" s="194"/>
      <c r="AH211" s="195"/>
      <c r="AI211" s="195"/>
      <c r="AJ211" s="195"/>
      <c r="AK211" s="195"/>
      <c r="AL211" s="194"/>
      <c r="AM211" s="195"/>
      <c r="AN211" s="195"/>
      <c r="AO211" s="195"/>
      <c r="AP211" s="195"/>
      <c r="AQ211" s="194"/>
      <c r="AR211" s="195"/>
      <c r="AS211" s="195"/>
      <c r="AT211" s="195"/>
      <c r="AU211" s="195"/>
      <c r="AV211" s="194"/>
      <c r="AW211" s="195"/>
      <c r="AX211" s="195"/>
      <c r="AY211" s="195"/>
      <c r="AZ211" s="195"/>
      <c r="BA211" s="194"/>
      <c r="BB211" s="195"/>
      <c r="BC211" s="195"/>
      <c r="BD211" s="195"/>
      <c r="BE211" s="195"/>
      <c r="BF211" s="194"/>
      <c r="BG211" s="195"/>
      <c r="BH211" s="195"/>
      <c r="BI211" s="195"/>
      <c r="BJ211" s="195"/>
      <c r="BK211" s="194"/>
      <c r="BL211" s="195"/>
      <c r="BM211" s="195"/>
      <c r="BN211" s="195"/>
      <c r="BO211" s="195"/>
      <c r="BP211" s="194"/>
      <c r="BQ211" s="195"/>
      <c r="BR211" s="195"/>
      <c r="BS211" s="195"/>
      <c r="BT211" s="120"/>
      <c r="BU211" s="119"/>
      <c r="BV211" s="120"/>
      <c r="BW211" s="120"/>
      <c r="BX211" s="120"/>
      <c r="BY211" s="189"/>
      <c r="BZ211" s="188"/>
      <c r="CA211" s="189"/>
      <c r="CB211" s="189"/>
      <c r="CC211" s="189"/>
      <c r="CD211" s="189"/>
      <c r="CE211" s="188"/>
      <c r="CF211" s="189"/>
      <c r="CG211" s="189"/>
      <c r="CH211" s="189"/>
      <c r="CI211" s="189"/>
      <c r="CJ211" s="188"/>
      <c r="CK211" s="189"/>
      <c r="CL211" s="189"/>
      <c r="CM211" s="189"/>
      <c r="CN211" s="189"/>
      <c r="CO211" s="749" t="s">
        <v>208</v>
      </c>
      <c r="CP211" s="189"/>
      <c r="CQ211" s="189"/>
      <c r="CR211" s="189"/>
      <c r="CS211" s="189"/>
      <c r="CT211" s="223">
        <f>(CT210-CO210)*100*100</f>
        <v>91.8359539768346</v>
      </c>
      <c r="CU211" s="224" t="s">
        <v>208</v>
      </c>
      <c r="CV211" s="224" t="s">
        <v>208</v>
      </c>
      <c r="CW211" s="224" t="s">
        <v>208</v>
      </c>
      <c r="CX211" s="224" t="s">
        <v>208</v>
      </c>
      <c r="CY211" s="223">
        <f t="shared" ref="CY211:DE211" si="1164">(CY210-CT210)*100*100</f>
        <v>36.8611282527295</v>
      </c>
      <c r="CZ211" s="224">
        <f t="shared" si="1164"/>
        <v>35.9072834431384</v>
      </c>
      <c r="DA211" s="224">
        <f t="shared" si="1164"/>
        <v>188.743843926421</v>
      </c>
      <c r="DB211" s="224">
        <f t="shared" si="1164"/>
        <v>205.059129572815</v>
      </c>
      <c r="DC211" s="224">
        <f t="shared" si="1164"/>
        <v>129.426816174767</v>
      </c>
      <c r="DD211" s="223">
        <f t="shared" si="1164"/>
        <v>142.763515372741</v>
      </c>
      <c r="DE211" s="224">
        <f t="shared" si="1164"/>
        <v>306.584092703577</v>
      </c>
      <c r="DF211" s="224">
        <f t="shared" ref="DF211" si="1165">(DF210-DA210)*100*100</f>
        <v>169.102948223002</v>
      </c>
      <c r="DG211" s="330"/>
      <c r="DH211" s="330"/>
      <c r="DI211" s="329"/>
      <c r="DJ211" s="330"/>
      <c r="DK211" s="330"/>
      <c r="DL211" s="330"/>
      <c r="DM211" s="330"/>
      <c r="DN211" s="329"/>
      <c r="DO211" s="330"/>
      <c r="DP211" s="330"/>
      <c r="DQ211" s="330"/>
      <c r="DR211" s="330"/>
      <c r="DS211" s="329"/>
    </row>
    <row r="212" s="3" customFormat="1" hidden="1" outlineLevel="1" spans="2:123">
      <c r="B212" s="33"/>
      <c r="C212" s="284"/>
      <c r="D212" s="189"/>
      <c r="E212" s="189"/>
      <c r="F212" s="189"/>
      <c r="G212" s="189"/>
      <c r="H212" s="188"/>
      <c r="I212" s="189"/>
      <c r="J212" s="189"/>
      <c r="K212" s="189"/>
      <c r="L212" s="189"/>
      <c r="M212" s="188"/>
      <c r="N212" s="189"/>
      <c r="O212" s="189"/>
      <c r="P212" s="189"/>
      <c r="Q212" s="189"/>
      <c r="R212" s="188"/>
      <c r="S212" s="189"/>
      <c r="T212" s="189"/>
      <c r="U212" s="189"/>
      <c r="V212" s="189"/>
      <c r="W212" s="188"/>
      <c r="X212" s="189"/>
      <c r="Y212" s="189"/>
      <c r="Z212" s="195"/>
      <c r="AA212" s="195"/>
      <c r="AB212" s="188"/>
      <c r="AC212" s="195"/>
      <c r="AD212" s="195"/>
      <c r="AE212" s="195"/>
      <c r="AF212" s="195"/>
      <c r="AG212" s="194"/>
      <c r="AH212" s="195"/>
      <c r="AI212" s="195"/>
      <c r="AJ212" s="195"/>
      <c r="AK212" s="195"/>
      <c r="AL212" s="194"/>
      <c r="AM212" s="195"/>
      <c r="AN212" s="195"/>
      <c r="AO212" s="195"/>
      <c r="AP212" s="195"/>
      <c r="AQ212" s="194"/>
      <c r="AR212" s="195"/>
      <c r="AS212" s="195"/>
      <c r="AT212" s="195"/>
      <c r="AU212" s="195"/>
      <c r="AV212" s="194"/>
      <c r="AW212" s="195"/>
      <c r="AX212" s="195"/>
      <c r="AY212" s="195"/>
      <c r="AZ212" s="195"/>
      <c r="BA212" s="194"/>
      <c r="BB212" s="195"/>
      <c r="BC212" s="195"/>
      <c r="BD212" s="195"/>
      <c r="BE212" s="195"/>
      <c r="BF212" s="194"/>
      <c r="BG212" s="195"/>
      <c r="BH212" s="195"/>
      <c r="BI212" s="195"/>
      <c r="BJ212" s="195"/>
      <c r="BK212" s="194"/>
      <c r="BL212" s="195"/>
      <c r="BM212" s="195"/>
      <c r="BN212" s="195"/>
      <c r="BO212" s="195"/>
      <c r="BP212" s="194"/>
      <c r="BQ212" s="195"/>
      <c r="BR212" s="195"/>
      <c r="BS212" s="195"/>
      <c r="BT212" s="120"/>
      <c r="BU212" s="119"/>
      <c r="BV212" s="120"/>
      <c r="BW212" s="120"/>
      <c r="BX212" s="120"/>
      <c r="BY212" s="189"/>
      <c r="BZ212" s="188"/>
      <c r="CA212" s="189"/>
      <c r="CB212" s="189"/>
      <c r="CC212" s="189"/>
      <c r="CD212" s="189"/>
      <c r="CE212" s="188"/>
      <c r="CF212" s="189"/>
      <c r="CG212" s="189"/>
      <c r="CH212" s="189"/>
      <c r="CI212" s="189"/>
      <c r="CJ212" s="188"/>
      <c r="CK212" s="189"/>
      <c r="CL212" s="189"/>
      <c r="CM212" s="189"/>
      <c r="CN212" s="189"/>
      <c r="CO212" s="188"/>
      <c r="CP212" s="189"/>
      <c r="CQ212" s="189"/>
      <c r="CR212" s="189"/>
      <c r="CS212" s="189"/>
      <c r="CT212" s="188"/>
      <c r="CU212" s="182"/>
      <c r="CV212" s="335"/>
      <c r="CW212" s="335"/>
      <c r="CX212" s="335"/>
      <c r="CY212" s="336"/>
      <c r="CZ212" s="182"/>
      <c r="DA212" s="189"/>
      <c r="DB212" s="189"/>
      <c r="DC212" s="189"/>
      <c r="DD212" s="188"/>
      <c r="DE212" s="189"/>
      <c r="DF212" s="189"/>
      <c r="DG212" s="239"/>
      <c r="DH212" s="239"/>
      <c r="DI212" s="238"/>
      <c r="DJ212" s="239"/>
      <c r="DK212" s="239"/>
      <c r="DL212" s="239"/>
      <c r="DM212" s="239"/>
      <c r="DN212" s="238"/>
      <c r="DO212" s="239"/>
      <c r="DP212" s="239"/>
      <c r="DQ212" s="239"/>
      <c r="DR212" s="239"/>
      <c r="DS212" s="238"/>
    </row>
    <row r="213" s="89" customFormat="1" collapsed="1" spans="2:123">
      <c r="B213" s="175" t="s">
        <v>382</v>
      </c>
      <c r="C213" s="337"/>
      <c r="D213" s="132"/>
      <c r="E213" s="132"/>
      <c r="F213" s="132"/>
      <c r="G213" s="132"/>
      <c r="H213" s="131"/>
      <c r="I213" s="132"/>
      <c r="J213" s="132"/>
      <c r="K213" s="132"/>
      <c r="L213" s="132"/>
      <c r="M213" s="131"/>
      <c r="N213" s="132"/>
      <c r="O213" s="132"/>
      <c r="P213" s="132"/>
      <c r="Q213" s="132"/>
      <c r="R213" s="131"/>
      <c r="S213" s="132"/>
      <c r="T213" s="132"/>
      <c r="U213" s="132"/>
      <c r="V213" s="132"/>
      <c r="W213" s="131"/>
      <c r="X213" s="132"/>
      <c r="Y213" s="132"/>
      <c r="Z213" s="132"/>
      <c r="AA213" s="132"/>
      <c r="AB213" s="131"/>
      <c r="AC213" s="132"/>
      <c r="AD213" s="132"/>
      <c r="AE213" s="132"/>
      <c r="AF213" s="132"/>
      <c r="AG213" s="131"/>
      <c r="AH213" s="132"/>
      <c r="AI213" s="132"/>
      <c r="AJ213" s="132"/>
      <c r="AK213" s="132"/>
      <c r="AL213" s="131"/>
      <c r="AM213" s="132"/>
      <c r="AN213" s="132"/>
      <c r="AO213" s="132"/>
      <c r="AP213" s="132"/>
      <c r="AQ213" s="131"/>
      <c r="AR213" s="132"/>
      <c r="AS213" s="132"/>
      <c r="AT213" s="132"/>
      <c r="AU213" s="132"/>
      <c r="AV213" s="131"/>
      <c r="AW213" s="132"/>
      <c r="AX213" s="132"/>
      <c r="AY213" s="132"/>
      <c r="AZ213" s="132"/>
      <c r="BA213" s="131"/>
      <c r="BB213" s="132"/>
      <c r="BC213" s="132"/>
      <c r="BD213" s="132"/>
      <c r="BE213" s="132"/>
      <c r="BF213" s="131"/>
      <c r="BG213" s="132"/>
      <c r="BH213" s="132"/>
      <c r="BI213" s="132"/>
      <c r="BJ213" s="132"/>
      <c r="BK213" s="131"/>
      <c r="BL213" s="132"/>
      <c r="BM213" s="132"/>
      <c r="BN213" s="132"/>
      <c r="BO213" s="132"/>
      <c r="BP213" s="131"/>
      <c r="BQ213" s="132"/>
      <c r="BR213" s="132"/>
      <c r="BS213" s="132"/>
      <c r="BT213" s="125"/>
      <c r="BU213" s="124"/>
      <c r="BV213" s="125"/>
      <c r="BW213" s="125"/>
      <c r="BX213" s="125"/>
      <c r="BY213" s="132"/>
      <c r="BZ213" s="131"/>
      <c r="CA213" s="132"/>
      <c r="CB213" s="132"/>
      <c r="CC213" s="132"/>
      <c r="CD213" s="132"/>
      <c r="CE213" s="131"/>
      <c r="CF213" s="132"/>
      <c r="CG213" s="132"/>
      <c r="CH213" s="132"/>
      <c r="CI213" s="132"/>
      <c r="CJ213" s="131"/>
      <c r="CK213" s="132"/>
      <c r="CL213" s="132"/>
      <c r="CM213" s="132"/>
      <c r="CN213" s="132"/>
      <c r="CO213" s="131">
        <v>2503.74</v>
      </c>
      <c r="CP213" s="133">
        <v>581.222</v>
      </c>
      <c r="CQ213" s="133">
        <v>660.57</v>
      </c>
      <c r="CR213" s="133">
        <v>636.714</v>
      </c>
      <c r="CS213" s="133">
        <f>CT213-CP213-CQ213-CR213</f>
        <v>1058.678</v>
      </c>
      <c r="CT213" s="134">
        <v>2937.184</v>
      </c>
      <c r="CU213" s="133">
        <v>564.84</v>
      </c>
      <c r="CV213" s="133">
        <v>669.427</v>
      </c>
      <c r="CW213" s="133">
        <v>654.939</v>
      </c>
      <c r="CX213" s="133">
        <f>CY213-CU213-CV213-CW213</f>
        <v>1126.351</v>
      </c>
      <c r="CY213" s="134">
        <v>3015.557</v>
      </c>
      <c r="CZ213" s="133">
        <v>589.331</v>
      </c>
      <c r="DA213" s="133">
        <v>619.394</v>
      </c>
      <c r="DB213" s="133">
        <v>517.488</v>
      </c>
      <c r="DC213" s="133">
        <f>DD213-CZ213-DA213-DB213</f>
        <v>834.445</v>
      </c>
      <c r="DD213" s="134">
        <v>2560.658</v>
      </c>
      <c r="DE213" s="133">
        <v>408.48</v>
      </c>
      <c r="DF213" s="133">
        <v>594.413</v>
      </c>
      <c r="DG213" s="133"/>
      <c r="DH213" s="133"/>
      <c r="DI213" s="134"/>
      <c r="DJ213" s="133"/>
      <c r="DK213" s="133"/>
      <c r="DL213" s="133"/>
      <c r="DM213" s="133"/>
      <c r="DN213" s="134"/>
      <c r="DO213" s="133"/>
      <c r="DP213" s="133"/>
      <c r="DQ213" s="133"/>
      <c r="DR213" s="133"/>
      <c r="DS213" s="134"/>
    </row>
    <row r="214" s="3" customFormat="1" spans="2:123">
      <c r="B214" s="144" t="s">
        <v>370</v>
      </c>
      <c r="C214" s="284"/>
      <c r="D214" s="189"/>
      <c r="E214" s="189"/>
      <c r="F214" s="189"/>
      <c r="G214" s="189"/>
      <c r="H214" s="188"/>
      <c r="I214" s="189"/>
      <c r="J214" s="189"/>
      <c r="K214" s="189"/>
      <c r="L214" s="189"/>
      <c r="M214" s="188"/>
      <c r="N214" s="189"/>
      <c r="O214" s="189"/>
      <c r="P214" s="189"/>
      <c r="Q214" s="189"/>
      <c r="R214" s="188"/>
      <c r="S214" s="189"/>
      <c r="T214" s="189"/>
      <c r="U214" s="189"/>
      <c r="V214" s="189"/>
      <c r="W214" s="188"/>
      <c r="X214" s="189"/>
      <c r="Y214" s="189"/>
      <c r="Z214" s="195"/>
      <c r="AA214" s="195"/>
      <c r="AB214" s="188"/>
      <c r="AC214" s="195"/>
      <c r="AD214" s="195"/>
      <c r="AE214" s="195"/>
      <c r="AF214" s="195"/>
      <c r="AG214" s="194"/>
      <c r="AH214" s="195"/>
      <c r="AI214" s="195"/>
      <c r="AJ214" s="195"/>
      <c r="AK214" s="195"/>
      <c r="AL214" s="194"/>
      <c r="AM214" s="195"/>
      <c r="AN214" s="195"/>
      <c r="AO214" s="195"/>
      <c r="AP214" s="195"/>
      <c r="AQ214" s="194"/>
      <c r="AR214" s="195"/>
      <c r="AS214" s="195"/>
      <c r="AT214" s="195"/>
      <c r="AU214" s="195"/>
      <c r="AV214" s="194"/>
      <c r="AW214" s="195"/>
      <c r="AX214" s="195"/>
      <c r="AY214" s="195"/>
      <c r="AZ214" s="195"/>
      <c r="BA214" s="194"/>
      <c r="BB214" s="195"/>
      <c r="BC214" s="195"/>
      <c r="BD214" s="195"/>
      <c r="BE214" s="195"/>
      <c r="BF214" s="194"/>
      <c r="BG214" s="195"/>
      <c r="BH214" s="195"/>
      <c r="BI214" s="195"/>
      <c r="BJ214" s="195"/>
      <c r="BK214" s="194"/>
      <c r="BL214" s="195"/>
      <c r="BM214" s="195"/>
      <c r="BN214" s="195"/>
      <c r="BO214" s="195"/>
      <c r="BP214" s="194"/>
      <c r="BQ214" s="195"/>
      <c r="BR214" s="195"/>
      <c r="BS214" s="195"/>
      <c r="BT214" s="120"/>
      <c r="BU214" s="119"/>
      <c r="BV214" s="120"/>
      <c r="BW214" s="120"/>
      <c r="BX214" s="120"/>
      <c r="BY214" s="189"/>
      <c r="BZ214" s="188"/>
      <c r="CA214" s="189"/>
      <c r="CB214" s="189"/>
      <c r="CC214" s="189"/>
      <c r="CD214" s="189"/>
      <c r="CE214" s="188"/>
      <c r="CF214" s="189"/>
      <c r="CG214" s="189"/>
      <c r="CH214" s="189"/>
      <c r="CI214" s="189"/>
      <c r="CJ214" s="140"/>
      <c r="CK214" s="189"/>
      <c r="CL214" s="189"/>
      <c r="CM214" s="189"/>
      <c r="CN214" s="189"/>
      <c r="CO214" s="749" t="s">
        <v>208</v>
      </c>
      <c r="CP214" s="772" t="s">
        <v>208</v>
      </c>
      <c r="CQ214" s="772" t="s">
        <v>208</v>
      </c>
      <c r="CR214" s="772" t="s">
        <v>208</v>
      </c>
      <c r="CS214" s="772" t="s">
        <v>208</v>
      </c>
      <c r="CT214" s="140">
        <f t="shared" ref="CT214:CY214" si="1166">CT213/CO213-1</f>
        <v>0.17311861455263</v>
      </c>
      <c r="CU214" s="291">
        <f t="shared" si="1166"/>
        <v>-0.0281854437719149</v>
      </c>
      <c r="CV214" s="291">
        <f t="shared" si="1166"/>
        <v>0.0134081172320875</v>
      </c>
      <c r="CW214" s="291">
        <f t="shared" si="1166"/>
        <v>0.0286235264184547</v>
      </c>
      <c r="CX214" s="291">
        <f t="shared" si="1166"/>
        <v>0.0639221746366689</v>
      </c>
      <c r="CY214" s="140">
        <f t="shared" si="1166"/>
        <v>0.026683040626668</v>
      </c>
      <c r="CZ214" s="291">
        <f t="shared" ref="CZ214" si="1167">CZ213/CU213-1</f>
        <v>0.0433591813610934</v>
      </c>
      <c r="DA214" s="291">
        <f t="shared" ref="DA214:DC214" si="1168">DA213/CV213-1</f>
        <v>-0.0747400388690627</v>
      </c>
      <c r="DB214" s="291">
        <f t="shared" si="1168"/>
        <v>-0.209868399957859</v>
      </c>
      <c r="DC214" s="310">
        <f t="shared" si="1168"/>
        <v>-0.259160776702822</v>
      </c>
      <c r="DD214" s="140">
        <f t="shared" ref="DD214:DE214" si="1169">DD213/CY213-1</f>
        <v>-0.150850738354473</v>
      </c>
      <c r="DE214" s="291">
        <f t="shared" si="1169"/>
        <v>-0.30687508378144</v>
      </c>
      <c r="DF214" s="291">
        <f t="shared" ref="DF214" si="1170">DF213/DA213-1</f>
        <v>-0.0403313561319613</v>
      </c>
      <c r="DG214" s="291"/>
      <c r="DH214" s="291"/>
      <c r="DI214" s="140"/>
      <c r="DJ214" s="291"/>
      <c r="DK214" s="291"/>
      <c r="DL214" s="291"/>
      <c r="DM214" s="291"/>
      <c r="DN214" s="140"/>
      <c r="DO214" s="291"/>
      <c r="DP214" s="291"/>
      <c r="DQ214" s="291"/>
      <c r="DR214" s="291"/>
      <c r="DS214" s="140"/>
    </row>
    <row r="215" s="3" customFormat="1" spans="2:123">
      <c r="B215" s="144" t="s">
        <v>322</v>
      </c>
      <c r="C215" s="284"/>
      <c r="D215" s="189"/>
      <c r="E215" s="189"/>
      <c r="F215" s="189"/>
      <c r="G215" s="189"/>
      <c r="H215" s="188"/>
      <c r="I215" s="189"/>
      <c r="J215" s="189"/>
      <c r="K215" s="189"/>
      <c r="L215" s="189"/>
      <c r="M215" s="188"/>
      <c r="N215" s="189"/>
      <c r="O215" s="189"/>
      <c r="P215" s="189"/>
      <c r="Q215" s="189"/>
      <c r="R215" s="188"/>
      <c r="S215" s="189"/>
      <c r="T215" s="189"/>
      <c r="U215" s="189"/>
      <c r="V215" s="189"/>
      <c r="W215" s="188"/>
      <c r="X215" s="189"/>
      <c r="Y215" s="189"/>
      <c r="Z215" s="195"/>
      <c r="AA215" s="195"/>
      <c r="AB215" s="188"/>
      <c r="AC215" s="195"/>
      <c r="AD215" s="195"/>
      <c r="AE215" s="195"/>
      <c r="AF215" s="195"/>
      <c r="AG215" s="194"/>
      <c r="AH215" s="195"/>
      <c r="AI215" s="195"/>
      <c r="AJ215" s="195"/>
      <c r="AK215" s="195"/>
      <c r="AL215" s="194"/>
      <c r="AM215" s="195"/>
      <c r="AN215" s="195"/>
      <c r="AO215" s="195"/>
      <c r="AP215" s="195"/>
      <c r="AQ215" s="194"/>
      <c r="AR215" s="195"/>
      <c r="AS215" s="195"/>
      <c r="AT215" s="195"/>
      <c r="AU215" s="195"/>
      <c r="AV215" s="194"/>
      <c r="AW215" s="195"/>
      <c r="AX215" s="195"/>
      <c r="AY215" s="195"/>
      <c r="AZ215" s="195"/>
      <c r="BA215" s="194"/>
      <c r="BB215" s="195"/>
      <c r="BC215" s="195"/>
      <c r="BD215" s="195"/>
      <c r="BE215" s="195"/>
      <c r="BF215" s="194"/>
      <c r="BG215" s="195"/>
      <c r="BH215" s="195"/>
      <c r="BI215" s="195"/>
      <c r="BJ215" s="195"/>
      <c r="BK215" s="194"/>
      <c r="BL215" s="195"/>
      <c r="BM215" s="195"/>
      <c r="BN215" s="195"/>
      <c r="BO215" s="195"/>
      <c r="BP215" s="194"/>
      <c r="BQ215" s="195"/>
      <c r="BR215" s="195"/>
      <c r="BS215" s="195"/>
      <c r="BT215" s="120"/>
      <c r="BU215" s="119"/>
      <c r="BV215" s="120"/>
      <c r="BW215" s="120"/>
      <c r="BX215" s="120"/>
      <c r="BY215" s="189"/>
      <c r="BZ215" s="188"/>
      <c r="CA215" s="189"/>
      <c r="CB215" s="189"/>
      <c r="CC215" s="189"/>
      <c r="CD215" s="189"/>
      <c r="CE215" s="188"/>
      <c r="CF215" s="189"/>
      <c r="CG215" s="189"/>
      <c r="CH215" s="189"/>
      <c r="CI215" s="189"/>
      <c r="CJ215" s="140"/>
      <c r="CK215" s="189"/>
      <c r="CL215" s="189"/>
      <c r="CM215" s="189"/>
      <c r="CN215" s="189"/>
      <c r="CO215" s="140">
        <f t="shared" ref="CO215:DF215" si="1171">CO213/CO173</f>
        <v>0.367254403183358</v>
      </c>
      <c r="CP215" s="291">
        <f t="shared" si="1171"/>
        <v>0.3707392434195</v>
      </c>
      <c r="CQ215" s="291">
        <f t="shared" si="1171"/>
        <v>0.384103018247176</v>
      </c>
      <c r="CR215" s="291">
        <f t="shared" si="1171"/>
        <v>0.367533326637412</v>
      </c>
      <c r="CS215" s="291">
        <f t="shared" si="1171"/>
        <v>0.405353829518887</v>
      </c>
      <c r="CT215" s="140">
        <f t="shared" si="1171"/>
        <v>0.384868954237532</v>
      </c>
      <c r="CU215" s="291">
        <f t="shared" si="1171"/>
        <v>0.348180074266581</v>
      </c>
      <c r="CV215" s="291">
        <f t="shared" si="1171"/>
        <v>0.384411573686728</v>
      </c>
      <c r="CW215" s="291">
        <f t="shared" si="1171"/>
        <v>0.369942193266764</v>
      </c>
      <c r="CX215" s="291">
        <f t="shared" si="1171"/>
        <v>0.403120959085952</v>
      </c>
      <c r="CY215" s="140">
        <f t="shared" si="1171"/>
        <v>0.380360452039541</v>
      </c>
      <c r="CZ215" s="291">
        <f t="shared" si="1171"/>
        <v>0.351932271082877</v>
      </c>
      <c r="DA215" s="291">
        <f t="shared" si="1171"/>
        <v>0.352285298117354</v>
      </c>
      <c r="DB215" s="291">
        <f t="shared" si="1171"/>
        <v>0.298542387079132</v>
      </c>
      <c r="DC215" s="310">
        <f t="shared" si="1171"/>
        <v>0.311257057831979</v>
      </c>
      <c r="DD215" s="140">
        <f t="shared" si="1171"/>
        <v>0.326321351071818</v>
      </c>
      <c r="DE215" s="291">
        <f t="shared" si="1171"/>
        <v>0.251959955835456</v>
      </c>
      <c r="DF215" s="291">
        <f t="shared" si="1171"/>
        <v>0.367654189953809</v>
      </c>
      <c r="DG215" s="291"/>
      <c r="DH215" s="291"/>
      <c r="DI215" s="140"/>
      <c r="DJ215" s="291"/>
      <c r="DK215" s="291"/>
      <c r="DL215" s="291"/>
      <c r="DM215" s="291"/>
      <c r="DN215" s="140"/>
      <c r="DO215" s="291"/>
      <c r="DP215" s="291"/>
      <c r="DQ215" s="291"/>
      <c r="DR215" s="291"/>
      <c r="DS215" s="140"/>
    </row>
    <row r="216" s="3" customFormat="1" spans="2:123">
      <c r="B216" s="144" t="s">
        <v>379</v>
      </c>
      <c r="C216" s="284"/>
      <c r="D216" s="189"/>
      <c r="E216" s="189"/>
      <c r="F216" s="189"/>
      <c r="G216" s="189"/>
      <c r="H216" s="188"/>
      <c r="I216" s="189"/>
      <c r="J216" s="189"/>
      <c r="K216" s="189"/>
      <c r="L216" s="189"/>
      <c r="M216" s="188"/>
      <c r="N216" s="189"/>
      <c r="O216" s="189"/>
      <c r="P216" s="189"/>
      <c r="Q216" s="189"/>
      <c r="R216" s="188"/>
      <c r="S216" s="189"/>
      <c r="T216" s="189"/>
      <c r="U216" s="189"/>
      <c r="V216" s="189"/>
      <c r="W216" s="188"/>
      <c r="X216" s="189"/>
      <c r="Y216" s="189"/>
      <c r="Z216" s="195"/>
      <c r="AA216" s="195"/>
      <c r="AB216" s="188"/>
      <c r="AC216" s="195"/>
      <c r="AD216" s="195"/>
      <c r="AE216" s="195"/>
      <c r="AF216" s="195"/>
      <c r="AG216" s="194"/>
      <c r="AH216" s="195"/>
      <c r="AI216" s="195"/>
      <c r="AJ216" s="195"/>
      <c r="AK216" s="195"/>
      <c r="AL216" s="194"/>
      <c r="AM216" s="195"/>
      <c r="AN216" s="195"/>
      <c r="AO216" s="195"/>
      <c r="AP216" s="195"/>
      <c r="AQ216" s="194"/>
      <c r="AR216" s="195"/>
      <c r="AS216" s="195"/>
      <c r="AT216" s="195"/>
      <c r="AU216" s="195"/>
      <c r="AV216" s="194"/>
      <c r="AW216" s="195"/>
      <c r="AX216" s="195"/>
      <c r="AY216" s="195"/>
      <c r="AZ216" s="195"/>
      <c r="BA216" s="194"/>
      <c r="BB216" s="195"/>
      <c r="BC216" s="195"/>
      <c r="BD216" s="195"/>
      <c r="BE216" s="195"/>
      <c r="BF216" s="194"/>
      <c r="BG216" s="195"/>
      <c r="BH216" s="195"/>
      <c r="BI216" s="195"/>
      <c r="BJ216" s="195"/>
      <c r="BK216" s="194"/>
      <c r="BL216" s="195"/>
      <c r="BM216" s="195"/>
      <c r="BN216" s="195"/>
      <c r="BO216" s="195"/>
      <c r="BP216" s="194"/>
      <c r="BQ216" s="195"/>
      <c r="BR216" s="195"/>
      <c r="BS216" s="195"/>
      <c r="BT216" s="120"/>
      <c r="BU216" s="119"/>
      <c r="BV216" s="120"/>
      <c r="BW216" s="120"/>
      <c r="BX216" s="120"/>
      <c r="BY216" s="189"/>
      <c r="BZ216" s="188"/>
      <c r="CA216" s="189"/>
      <c r="CB216" s="189"/>
      <c r="CC216" s="189"/>
      <c r="CD216" s="189"/>
      <c r="CE216" s="188"/>
      <c r="CF216" s="189"/>
      <c r="CG216" s="189"/>
      <c r="CH216" s="189"/>
      <c r="CI216" s="189"/>
      <c r="CJ216" s="223"/>
      <c r="CK216" s="189"/>
      <c r="CL216" s="189"/>
      <c r="CM216" s="189"/>
      <c r="CN216" s="189"/>
      <c r="CO216" s="749" t="s">
        <v>208</v>
      </c>
      <c r="CP216" s="772" t="s">
        <v>208</v>
      </c>
      <c r="CQ216" s="772" t="s">
        <v>208</v>
      </c>
      <c r="CR216" s="772" t="s">
        <v>208</v>
      </c>
      <c r="CS216" s="772" t="s">
        <v>208</v>
      </c>
      <c r="CT216" s="329">
        <f t="shared" ref="CT216:CY216" si="1172">(CT215-CO215)*100*100</f>
        <v>176.145510541738</v>
      </c>
      <c r="CU216" s="330">
        <f t="shared" si="1172"/>
        <v>-225.591691529193</v>
      </c>
      <c r="CV216" s="330">
        <f t="shared" si="1172"/>
        <v>3.08555439552438</v>
      </c>
      <c r="CW216" s="330">
        <f t="shared" si="1172"/>
        <v>24.0886662935147</v>
      </c>
      <c r="CX216" s="330">
        <f t="shared" si="1172"/>
        <v>-22.3287043293541</v>
      </c>
      <c r="CY216" s="329">
        <f t="shared" si="1172"/>
        <v>-45.085021979912</v>
      </c>
      <c r="CZ216" s="330">
        <f t="shared" ref="CZ216" si="1173">(CZ215-CU215)*100*100</f>
        <v>37.5219681629618</v>
      </c>
      <c r="DA216" s="330">
        <f t="shared" ref="DA216:DC216" si="1174">(DA215-CV215)*100*100</f>
        <v>-321.26275569374</v>
      </c>
      <c r="DB216" s="330">
        <f t="shared" si="1174"/>
        <v>-713.998061876318</v>
      </c>
      <c r="DC216" s="333">
        <f t="shared" si="1174"/>
        <v>-918.639012539735</v>
      </c>
      <c r="DD216" s="329">
        <f t="shared" ref="DD216:DF216" si="1175">(DD215-CY215)*100*100</f>
        <v>-540.391009677235</v>
      </c>
      <c r="DE216" s="330">
        <f t="shared" si="1175"/>
        <v>-999.723152474206</v>
      </c>
      <c r="DF216" s="330">
        <f t="shared" si="1175"/>
        <v>153.688918364551</v>
      </c>
      <c r="DG216" s="332"/>
      <c r="DH216" s="332"/>
      <c r="DI216" s="329"/>
      <c r="DJ216" s="332"/>
      <c r="DK216" s="332"/>
      <c r="DL216" s="332"/>
      <c r="DM216" s="332"/>
      <c r="DN216" s="329"/>
      <c r="DO216" s="332"/>
      <c r="DP216" s="332"/>
      <c r="DQ216" s="332"/>
      <c r="DR216" s="332"/>
      <c r="DS216" s="329"/>
    </row>
    <row r="217" s="3" customFormat="1" spans="2:123">
      <c r="B217" s="144"/>
      <c r="C217" s="284"/>
      <c r="D217" s="189"/>
      <c r="E217" s="189"/>
      <c r="F217" s="189"/>
      <c r="G217" s="189"/>
      <c r="H217" s="188"/>
      <c r="I217" s="189"/>
      <c r="J217" s="189"/>
      <c r="K217" s="189"/>
      <c r="L217" s="189"/>
      <c r="M217" s="188"/>
      <c r="N217" s="189"/>
      <c r="O217" s="189"/>
      <c r="P217" s="189"/>
      <c r="Q217" s="189"/>
      <c r="R217" s="188"/>
      <c r="S217" s="189"/>
      <c r="T217" s="189"/>
      <c r="U217" s="189"/>
      <c r="V217" s="189"/>
      <c r="W217" s="188"/>
      <c r="X217" s="189"/>
      <c r="Y217" s="189"/>
      <c r="Z217" s="195"/>
      <c r="AA217" s="195"/>
      <c r="AB217" s="188"/>
      <c r="AC217" s="195"/>
      <c r="AD217" s="195"/>
      <c r="AE217" s="195"/>
      <c r="AF217" s="195"/>
      <c r="AG217" s="194"/>
      <c r="AH217" s="195"/>
      <c r="AI217" s="195"/>
      <c r="AJ217" s="195"/>
      <c r="AK217" s="195"/>
      <c r="AL217" s="194"/>
      <c r="AM217" s="195"/>
      <c r="AN217" s="195"/>
      <c r="AO217" s="195"/>
      <c r="AP217" s="195"/>
      <c r="AQ217" s="194"/>
      <c r="AR217" s="195"/>
      <c r="AS217" s="195"/>
      <c r="AT217" s="195"/>
      <c r="AU217" s="195"/>
      <c r="AV217" s="194"/>
      <c r="AW217" s="195"/>
      <c r="AX217" s="195"/>
      <c r="AY217" s="195"/>
      <c r="AZ217" s="195"/>
      <c r="BA217" s="194"/>
      <c r="BB217" s="195"/>
      <c r="BC217" s="195"/>
      <c r="BD217" s="195"/>
      <c r="BE217" s="195"/>
      <c r="BF217" s="194"/>
      <c r="BG217" s="195"/>
      <c r="BH217" s="195"/>
      <c r="BI217" s="195"/>
      <c r="BJ217" s="195"/>
      <c r="BK217" s="194"/>
      <c r="BL217" s="195"/>
      <c r="BM217" s="195"/>
      <c r="BN217" s="195"/>
      <c r="BO217" s="195"/>
      <c r="BP217" s="194"/>
      <c r="BQ217" s="195"/>
      <c r="BR217" s="195"/>
      <c r="BS217" s="195"/>
      <c r="BT217" s="120"/>
      <c r="BU217" s="119"/>
      <c r="BV217" s="120"/>
      <c r="BW217" s="120"/>
      <c r="BX217" s="120"/>
      <c r="BY217" s="189"/>
      <c r="BZ217" s="188"/>
      <c r="CA217" s="189"/>
      <c r="CB217" s="189"/>
      <c r="CC217" s="189"/>
      <c r="CD217" s="189"/>
      <c r="CE217" s="188"/>
      <c r="CF217" s="189"/>
      <c r="CG217" s="189"/>
      <c r="CH217" s="189"/>
      <c r="CI217" s="189"/>
      <c r="CJ217" s="223"/>
      <c r="CK217" s="189"/>
      <c r="CL217" s="189"/>
      <c r="CM217" s="189"/>
      <c r="CN217" s="189"/>
      <c r="CO217" s="140"/>
      <c r="CP217" s="189"/>
      <c r="CQ217" s="189"/>
      <c r="CR217" s="189"/>
      <c r="CS217" s="189"/>
      <c r="CT217" s="223"/>
      <c r="CU217" s="196"/>
      <c r="CV217" s="224"/>
      <c r="CW217" s="224"/>
      <c r="CX217" s="224"/>
      <c r="CY217" s="223"/>
      <c r="CZ217" s="224"/>
      <c r="DA217" s="224"/>
      <c r="DB217" s="224"/>
      <c r="DC217" s="224"/>
      <c r="DD217" s="223"/>
      <c r="DE217" s="196"/>
      <c r="DF217" s="338"/>
      <c r="DG217" s="332"/>
      <c r="DH217" s="332"/>
      <c r="DI217" s="329"/>
      <c r="DJ217" s="332"/>
      <c r="DK217" s="332"/>
      <c r="DL217" s="332"/>
      <c r="DM217" s="332"/>
      <c r="DN217" s="329"/>
      <c r="DO217" s="332"/>
      <c r="DP217" s="332"/>
      <c r="DQ217" s="332"/>
      <c r="DR217" s="332"/>
      <c r="DS217" s="329"/>
    </row>
    <row r="218" s="3" customFormat="1" spans="2:123">
      <c r="B218" s="144" t="s">
        <v>383</v>
      </c>
      <c r="C218" s="284"/>
      <c r="D218" s="189"/>
      <c r="E218" s="189"/>
      <c r="F218" s="189"/>
      <c r="G218" s="189"/>
      <c r="H218" s="188"/>
      <c r="I218" s="189"/>
      <c r="J218" s="189"/>
      <c r="K218" s="189"/>
      <c r="L218" s="189"/>
      <c r="M218" s="188"/>
      <c r="N218" s="189"/>
      <c r="O218" s="189"/>
      <c r="P218" s="189"/>
      <c r="Q218" s="189"/>
      <c r="R218" s="188"/>
      <c r="S218" s="189"/>
      <c r="T218" s="189"/>
      <c r="U218" s="189"/>
      <c r="V218" s="189"/>
      <c r="W218" s="188"/>
      <c r="X218" s="189"/>
      <c r="Y218" s="189"/>
      <c r="Z218" s="195"/>
      <c r="AA218" s="195"/>
      <c r="AB218" s="188"/>
      <c r="AC218" s="195"/>
      <c r="AD218" s="195"/>
      <c r="AE218" s="195"/>
      <c r="AF218" s="195"/>
      <c r="AG218" s="194"/>
      <c r="AH218" s="195"/>
      <c r="AI218" s="195"/>
      <c r="AJ218" s="195"/>
      <c r="AK218" s="195"/>
      <c r="AL218" s="194"/>
      <c r="AM218" s="195"/>
      <c r="AN218" s="195"/>
      <c r="AO218" s="195"/>
      <c r="AP218" s="195"/>
      <c r="AQ218" s="194"/>
      <c r="AR218" s="195"/>
      <c r="AS218" s="195"/>
      <c r="AT218" s="195"/>
      <c r="AU218" s="195"/>
      <c r="AV218" s="194"/>
      <c r="AW218" s="195"/>
      <c r="AX218" s="195"/>
      <c r="AY218" s="195"/>
      <c r="AZ218" s="195"/>
      <c r="BA218" s="194"/>
      <c r="BB218" s="195"/>
      <c r="BC218" s="195"/>
      <c r="BD218" s="195"/>
      <c r="BE218" s="195"/>
      <c r="BF218" s="194"/>
      <c r="BG218" s="195"/>
      <c r="BH218" s="195"/>
      <c r="BI218" s="195"/>
      <c r="BJ218" s="195"/>
      <c r="BK218" s="194"/>
      <c r="BL218" s="195"/>
      <c r="BM218" s="195"/>
      <c r="BN218" s="195"/>
      <c r="BO218" s="195"/>
      <c r="BP218" s="194"/>
      <c r="BQ218" s="195"/>
      <c r="BR218" s="195"/>
      <c r="BS218" s="195"/>
      <c r="BT218" s="120"/>
      <c r="BU218" s="119"/>
      <c r="BV218" s="120"/>
      <c r="BW218" s="120"/>
      <c r="BX218" s="120"/>
      <c r="BY218" s="189"/>
      <c r="BZ218" s="188"/>
      <c r="CA218" s="189"/>
      <c r="CB218" s="189"/>
      <c r="CC218" s="189"/>
      <c r="CD218" s="189"/>
      <c r="CE218" s="188"/>
      <c r="CF218" s="189"/>
      <c r="CG218" s="189"/>
      <c r="CH218" s="189"/>
      <c r="CI218" s="189"/>
      <c r="CJ218" s="223"/>
      <c r="CK218" s="189"/>
      <c r="CL218" s="189"/>
      <c r="CM218" s="189"/>
      <c r="CN218" s="189"/>
      <c r="CO218" s="339">
        <f t="shared" ref="CO218" si="1176">CO203/CO190</f>
        <v>10.15460858743</v>
      </c>
      <c r="CP218" s="340"/>
      <c r="CQ218" s="340"/>
      <c r="CR218" s="340"/>
      <c r="CS218" s="340"/>
      <c r="CT218" s="341">
        <f t="shared" ref="CT218:DE218" si="1177">CT203/CT190</f>
        <v>11.0897083091226</v>
      </c>
      <c r="CU218" s="342">
        <f t="shared" si="1177"/>
        <v>2.26148519362187</v>
      </c>
      <c r="CV218" s="342">
        <f t="shared" si="1177"/>
        <v>2.4905334846765</v>
      </c>
      <c r="CW218" s="342">
        <f t="shared" si="1177"/>
        <v>2.42871333333333</v>
      </c>
      <c r="CX218" s="342">
        <f t="shared" si="1177"/>
        <v>3.83803040173724</v>
      </c>
      <c r="CY218" s="341">
        <f t="shared" si="1177"/>
        <v>10.9882486126526</v>
      </c>
      <c r="CZ218" s="342">
        <f t="shared" si="1177"/>
        <v>2.24478571428571</v>
      </c>
      <c r="DA218" s="342">
        <f t="shared" si="1177"/>
        <v>2.33445425188375</v>
      </c>
      <c r="DB218" s="342">
        <f t="shared" si="1177"/>
        <v>2.0957545357524</v>
      </c>
      <c r="DC218" s="342">
        <f t="shared" si="1177"/>
        <v>3.13791754756871</v>
      </c>
      <c r="DD218" s="341">
        <f t="shared" si="1177"/>
        <v>9.78675413333333</v>
      </c>
      <c r="DE218" s="342">
        <f t="shared" si="1177"/>
        <v>1.87327521008403</v>
      </c>
      <c r="DF218" s="342">
        <f t="shared" ref="DF218" si="1178">DF203/DF190</f>
        <v>2.18833785192909</v>
      </c>
      <c r="DG218" s="332"/>
      <c r="DH218" s="332"/>
      <c r="DI218" s="329"/>
      <c r="DJ218" s="332"/>
      <c r="DK218" s="332"/>
      <c r="DL218" s="332"/>
      <c r="DM218" s="332"/>
      <c r="DN218" s="329"/>
      <c r="DO218" s="332"/>
      <c r="DP218" s="332"/>
      <c r="DQ218" s="332"/>
      <c r="DR218" s="332"/>
      <c r="DS218" s="329"/>
    </row>
    <row r="219" s="3" customFormat="1" spans="2:123">
      <c r="B219" s="144"/>
      <c r="C219" s="284"/>
      <c r="D219" s="189"/>
      <c r="E219" s="189"/>
      <c r="F219" s="189"/>
      <c r="G219" s="189"/>
      <c r="H219" s="188"/>
      <c r="I219" s="189"/>
      <c r="J219" s="189"/>
      <c r="K219" s="189"/>
      <c r="L219" s="189"/>
      <c r="M219" s="188"/>
      <c r="N219" s="189"/>
      <c r="O219" s="189"/>
      <c r="P219" s="189"/>
      <c r="Q219" s="189"/>
      <c r="R219" s="188"/>
      <c r="S219" s="189"/>
      <c r="T219" s="189"/>
      <c r="U219" s="189"/>
      <c r="V219" s="189"/>
      <c r="W219" s="188"/>
      <c r="X219" s="189"/>
      <c r="Y219" s="189"/>
      <c r="Z219" s="195"/>
      <c r="AA219" s="195"/>
      <c r="AB219" s="188"/>
      <c r="AC219" s="195"/>
      <c r="AD219" s="195"/>
      <c r="AE219" s="195"/>
      <c r="AF219" s="195"/>
      <c r="AG219" s="194"/>
      <c r="AH219" s="195"/>
      <c r="AI219" s="195"/>
      <c r="AJ219" s="195"/>
      <c r="AK219" s="195"/>
      <c r="AL219" s="194"/>
      <c r="AM219" s="195"/>
      <c r="AN219" s="195"/>
      <c r="AO219" s="195"/>
      <c r="AP219" s="195"/>
      <c r="AQ219" s="194"/>
      <c r="AR219" s="195"/>
      <c r="AS219" s="195"/>
      <c r="AT219" s="195"/>
      <c r="AU219" s="195"/>
      <c r="AV219" s="194"/>
      <c r="AW219" s="195"/>
      <c r="AX219" s="195"/>
      <c r="AY219" s="195"/>
      <c r="AZ219" s="195"/>
      <c r="BA219" s="194"/>
      <c r="BB219" s="195"/>
      <c r="BC219" s="195"/>
      <c r="BD219" s="195"/>
      <c r="BE219" s="195"/>
      <c r="BF219" s="194"/>
      <c r="BG219" s="195"/>
      <c r="BH219" s="195"/>
      <c r="BI219" s="195"/>
      <c r="BJ219" s="195"/>
      <c r="BK219" s="194"/>
      <c r="BL219" s="195"/>
      <c r="BM219" s="195"/>
      <c r="BN219" s="195"/>
      <c r="BO219" s="195"/>
      <c r="BP219" s="194"/>
      <c r="BQ219" s="195"/>
      <c r="BR219" s="195"/>
      <c r="BS219" s="195"/>
      <c r="BT219" s="120"/>
      <c r="BU219" s="119"/>
      <c r="BV219" s="120"/>
      <c r="BW219" s="120"/>
      <c r="BX219" s="120"/>
      <c r="BY219" s="189"/>
      <c r="BZ219" s="188"/>
      <c r="CA219" s="189"/>
      <c r="CB219" s="189"/>
      <c r="CC219" s="189"/>
      <c r="CD219" s="189"/>
      <c r="CE219" s="188"/>
      <c r="CF219" s="189"/>
      <c r="CG219" s="189"/>
      <c r="CH219" s="189"/>
      <c r="CI219" s="189"/>
      <c r="CJ219" s="223"/>
      <c r="CK219" s="189"/>
      <c r="CL219" s="189"/>
      <c r="CM219" s="189"/>
      <c r="CN219" s="189"/>
      <c r="CO219" s="749" t="s">
        <v>208</v>
      </c>
      <c r="CP219" s="189"/>
      <c r="CQ219" s="189"/>
      <c r="CR219" s="189"/>
      <c r="CS219" s="189"/>
      <c r="CT219" s="140">
        <f>CT218/CO218-1</f>
        <v>0.092086239823181</v>
      </c>
      <c r="CU219" s="291" t="s">
        <v>208</v>
      </c>
      <c r="CV219" s="291" t="s">
        <v>208</v>
      </c>
      <c r="CW219" s="291" t="s">
        <v>208</v>
      </c>
      <c r="CX219" s="291" t="s">
        <v>208</v>
      </c>
      <c r="CY219" s="140">
        <f t="shared" ref="CY219" si="1179">CY218/CT218-1</f>
        <v>-0.00914899595569452</v>
      </c>
      <c r="CZ219" s="291">
        <f t="shared" ref="CZ219" si="1180">CZ218/CU218-1</f>
        <v>-0.00738429744455149</v>
      </c>
      <c r="DA219" s="291">
        <f t="shared" ref="DA219" si="1181">DA218/CV218-1</f>
        <v>-0.0626689959211815</v>
      </c>
      <c r="DB219" s="291">
        <f t="shared" ref="DB219" si="1182">DB218/CW218-1</f>
        <v>-0.137092670843931</v>
      </c>
      <c r="DC219" s="291">
        <f t="shared" ref="DC219" si="1183">DC218/CX218-1</f>
        <v>-0.182414619188955</v>
      </c>
      <c r="DD219" s="140">
        <f t="shared" ref="DD219" si="1184">DD218/CY218-1</f>
        <v>-0.109343583465685</v>
      </c>
      <c r="DE219" s="291">
        <f t="shared" ref="DE219:DF219" si="1185">DE218/CZ218-1</f>
        <v>-0.165499317746636</v>
      </c>
      <c r="DF219" s="291">
        <f t="shared" si="1185"/>
        <v>-0.0625912458283333</v>
      </c>
      <c r="DG219" s="332"/>
      <c r="DH219" s="332"/>
      <c r="DI219" s="329"/>
      <c r="DJ219" s="332"/>
      <c r="DK219" s="332"/>
      <c r="DL219" s="332"/>
      <c r="DM219" s="332"/>
      <c r="DN219" s="329"/>
      <c r="DO219" s="332"/>
      <c r="DP219" s="332"/>
      <c r="DQ219" s="332"/>
      <c r="DR219" s="332"/>
      <c r="DS219" s="329"/>
    </row>
    <row r="220" s="3" customFormat="1" spans="2:123">
      <c r="B220" s="144" t="s">
        <v>384</v>
      </c>
      <c r="C220" s="284"/>
      <c r="D220" s="189"/>
      <c r="E220" s="189"/>
      <c r="F220" s="189"/>
      <c r="G220" s="189"/>
      <c r="H220" s="188"/>
      <c r="I220" s="189"/>
      <c r="J220" s="189"/>
      <c r="K220" s="189"/>
      <c r="L220" s="189"/>
      <c r="M220" s="188"/>
      <c r="N220" s="189"/>
      <c r="O220" s="189"/>
      <c r="P220" s="189"/>
      <c r="Q220" s="189"/>
      <c r="R220" s="188"/>
      <c r="S220" s="189"/>
      <c r="T220" s="189"/>
      <c r="U220" s="189"/>
      <c r="V220" s="189"/>
      <c r="W220" s="188"/>
      <c r="X220" s="189"/>
      <c r="Y220" s="189"/>
      <c r="Z220" s="195"/>
      <c r="AA220" s="195"/>
      <c r="AB220" s="188"/>
      <c r="AC220" s="195"/>
      <c r="AD220" s="195"/>
      <c r="AE220" s="195"/>
      <c r="AF220" s="195"/>
      <c r="AG220" s="194"/>
      <c r="AH220" s="195"/>
      <c r="AI220" s="195"/>
      <c r="AJ220" s="195"/>
      <c r="AK220" s="195"/>
      <c r="AL220" s="194"/>
      <c r="AM220" s="195"/>
      <c r="AN220" s="195"/>
      <c r="AO220" s="195"/>
      <c r="AP220" s="195"/>
      <c r="AQ220" s="194"/>
      <c r="AR220" s="195"/>
      <c r="AS220" s="195"/>
      <c r="AT220" s="195"/>
      <c r="AU220" s="195"/>
      <c r="AV220" s="194"/>
      <c r="AW220" s="195"/>
      <c r="AX220" s="195"/>
      <c r="AY220" s="195"/>
      <c r="AZ220" s="195"/>
      <c r="BA220" s="194"/>
      <c r="BB220" s="195"/>
      <c r="BC220" s="195"/>
      <c r="BD220" s="195"/>
      <c r="BE220" s="195"/>
      <c r="BF220" s="194"/>
      <c r="BG220" s="195"/>
      <c r="BH220" s="195"/>
      <c r="BI220" s="195"/>
      <c r="BJ220" s="195"/>
      <c r="BK220" s="194"/>
      <c r="BL220" s="195"/>
      <c r="BM220" s="195"/>
      <c r="BN220" s="195"/>
      <c r="BO220" s="195"/>
      <c r="BP220" s="194"/>
      <c r="BQ220" s="195"/>
      <c r="BR220" s="195"/>
      <c r="BS220" s="195"/>
      <c r="BT220" s="120"/>
      <c r="BU220" s="119"/>
      <c r="BV220" s="120"/>
      <c r="BW220" s="120"/>
      <c r="BX220" s="120"/>
      <c r="BY220" s="189"/>
      <c r="BZ220" s="188"/>
      <c r="CA220" s="189"/>
      <c r="CB220" s="189"/>
      <c r="CC220" s="189"/>
      <c r="CD220" s="189"/>
      <c r="CE220" s="188"/>
      <c r="CF220" s="189"/>
      <c r="CG220" s="189"/>
      <c r="CH220" s="189"/>
      <c r="CI220" s="189"/>
      <c r="CJ220" s="223"/>
      <c r="CK220" s="189"/>
      <c r="CL220" s="189"/>
      <c r="CM220" s="189"/>
      <c r="CN220" s="189"/>
      <c r="CO220" s="339">
        <f t="shared" ref="CO220" si="1186">CO213/CO190</f>
        <v>6.23208462974487</v>
      </c>
      <c r="CP220" s="340"/>
      <c r="CQ220" s="340"/>
      <c r="CR220" s="340"/>
      <c r="CS220" s="340"/>
      <c r="CT220" s="341">
        <f t="shared" ref="CT220:DE220" si="1187">CT213/CT190</f>
        <v>6.82669145845439</v>
      </c>
      <c r="CU220" s="342">
        <f t="shared" si="1187"/>
        <v>1.28665148063781</v>
      </c>
      <c r="CV220" s="342">
        <f t="shared" si="1187"/>
        <v>1.51969807037457</v>
      </c>
      <c r="CW220" s="342">
        <f t="shared" si="1187"/>
        <v>1.45542</v>
      </c>
      <c r="CX220" s="342">
        <f t="shared" si="1187"/>
        <v>2.44593051031487</v>
      </c>
      <c r="CY220" s="341">
        <f t="shared" si="1187"/>
        <v>6.69380022197558</v>
      </c>
      <c r="CZ220" s="342">
        <f t="shared" si="1187"/>
        <v>1.27560822510823</v>
      </c>
      <c r="DA220" s="342">
        <f t="shared" si="1187"/>
        <v>1.33346393972013</v>
      </c>
      <c r="DB220" s="342">
        <f t="shared" si="1187"/>
        <v>1.10456350053362</v>
      </c>
      <c r="DC220" s="342">
        <f t="shared" si="1187"/>
        <v>1.76415433403805</v>
      </c>
      <c r="DD220" s="341">
        <f t="shared" si="1187"/>
        <v>5.46273706666667</v>
      </c>
      <c r="DE220" s="342">
        <f t="shared" si="1187"/>
        <v>0.858151260504202</v>
      </c>
      <c r="DF220" s="342">
        <f t="shared" ref="DF220" si="1188">DF213/DF190</f>
        <v>1.23965172054223</v>
      </c>
      <c r="DG220" s="332"/>
      <c r="DH220" s="332"/>
      <c r="DI220" s="329"/>
      <c r="DJ220" s="332"/>
      <c r="DK220" s="332"/>
      <c r="DL220" s="332"/>
      <c r="DM220" s="332"/>
      <c r="DN220" s="329"/>
      <c r="DO220" s="332"/>
      <c r="DP220" s="332"/>
      <c r="DQ220" s="332"/>
      <c r="DR220" s="332"/>
      <c r="DS220" s="329"/>
    </row>
    <row r="221" s="3" customFormat="1" spans="2:123">
      <c r="B221" s="144"/>
      <c r="C221" s="284"/>
      <c r="D221" s="189"/>
      <c r="E221" s="189"/>
      <c r="F221" s="189"/>
      <c r="G221" s="189"/>
      <c r="H221" s="188"/>
      <c r="I221" s="189"/>
      <c r="J221" s="189"/>
      <c r="K221" s="189"/>
      <c r="L221" s="189"/>
      <c r="M221" s="188"/>
      <c r="N221" s="189"/>
      <c r="O221" s="189"/>
      <c r="P221" s="189"/>
      <c r="Q221" s="189"/>
      <c r="R221" s="188"/>
      <c r="S221" s="189"/>
      <c r="T221" s="189"/>
      <c r="U221" s="189"/>
      <c r="V221" s="189"/>
      <c r="W221" s="188"/>
      <c r="X221" s="189"/>
      <c r="Y221" s="189"/>
      <c r="Z221" s="195"/>
      <c r="AA221" s="195"/>
      <c r="AB221" s="188"/>
      <c r="AC221" s="195"/>
      <c r="AD221" s="195"/>
      <c r="AE221" s="195"/>
      <c r="AF221" s="195"/>
      <c r="AG221" s="194"/>
      <c r="AH221" s="195"/>
      <c r="AI221" s="195"/>
      <c r="AJ221" s="195"/>
      <c r="AK221" s="195"/>
      <c r="AL221" s="194"/>
      <c r="AM221" s="195"/>
      <c r="AN221" s="195"/>
      <c r="AO221" s="195"/>
      <c r="AP221" s="195"/>
      <c r="AQ221" s="194"/>
      <c r="AR221" s="195"/>
      <c r="AS221" s="195"/>
      <c r="AT221" s="195"/>
      <c r="AU221" s="195"/>
      <c r="AV221" s="194"/>
      <c r="AW221" s="195"/>
      <c r="AX221" s="195"/>
      <c r="AY221" s="195"/>
      <c r="AZ221" s="195"/>
      <c r="BA221" s="194"/>
      <c r="BB221" s="195"/>
      <c r="BC221" s="195"/>
      <c r="BD221" s="195"/>
      <c r="BE221" s="195"/>
      <c r="BF221" s="194"/>
      <c r="BG221" s="195"/>
      <c r="BH221" s="195"/>
      <c r="BI221" s="195"/>
      <c r="BJ221" s="195"/>
      <c r="BK221" s="194"/>
      <c r="BL221" s="195"/>
      <c r="BM221" s="195"/>
      <c r="BN221" s="195"/>
      <c r="BO221" s="195"/>
      <c r="BP221" s="194"/>
      <c r="BQ221" s="195"/>
      <c r="BR221" s="195"/>
      <c r="BS221" s="195"/>
      <c r="BT221" s="120"/>
      <c r="BU221" s="119"/>
      <c r="BV221" s="120"/>
      <c r="BW221" s="120"/>
      <c r="BX221" s="120"/>
      <c r="BY221" s="189"/>
      <c r="BZ221" s="188"/>
      <c r="CA221" s="189"/>
      <c r="CB221" s="189"/>
      <c r="CC221" s="189"/>
      <c r="CD221" s="189"/>
      <c r="CE221" s="188"/>
      <c r="CF221" s="189"/>
      <c r="CG221" s="189"/>
      <c r="CH221" s="189"/>
      <c r="CI221" s="189"/>
      <c r="CJ221" s="223"/>
      <c r="CK221" s="189"/>
      <c r="CL221" s="189"/>
      <c r="CM221" s="189"/>
      <c r="CN221" s="189"/>
      <c r="CO221" s="749" t="s">
        <v>208</v>
      </c>
      <c r="CP221" s="189"/>
      <c r="CQ221" s="189"/>
      <c r="CR221" s="189"/>
      <c r="CS221" s="189"/>
      <c r="CT221" s="140">
        <f>CT220/CO220-1</f>
        <v>0.0954105831412408</v>
      </c>
      <c r="CU221" s="291" t="s">
        <v>208</v>
      </c>
      <c r="CV221" s="291" t="s">
        <v>208</v>
      </c>
      <c r="CW221" s="291" t="s">
        <v>208</v>
      </c>
      <c r="CX221" s="291" t="s">
        <v>208</v>
      </c>
      <c r="CY221" s="140">
        <f>CY220/CT220-1</f>
        <v>-0.0194664190241421</v>
      </c>
      <c r="CZ221" s="291">
        <f t="shared" ref="CZ221" si="1189">CZ220/CU220-1</f>
        <v>-0.00858294238632029</v>
      </c>
      <c r="DA221" s="291">
        <f t="shared" ref="DA221" si="1190">DA220/CV220-1</f>
        <v>-0.122546796817701</v>
      </c>
      <c r="DB221" s="291">
        <f t="shared" ref="DB221" si="1191">DB220/CW220-1</f>
        <v>-0.241068900706588</v>
      </c>
      <c r="DC221" s="291">
        <f t="shared" ref="DC221" si="1192">DC220/CX220-1</f>
        <v>-0.278738980278329</v>
      </c>
      <c r="DD221" s="140">
        <f t="shared" ref="DD221" si="1193">DD220/CY220-1</f>
        <v>-0.183910949607872</v>
      </c>
      <c r="DE221" s="291">
        <f t="shared" ref="DE221:DF221" si="1194">DE220/CZ220-1</f>
        <v>-0.327261110729045</v>
      </c>
      <c r="DF221" s="291">
        <f t="shared" si="1194"/>
        <v>-0.0703522730412847</v>
      </c>
      <c r="DG221" s="332"/>
      <c r="DH221" s="332"/>
      <c r="DI221" s="329"/>
      <c r="DJ221" s="332"/>
      <c r="DK221" s="332"/>
      <c r="DL221" s="332"/>
      <c r="DM221" s="332"/>
      <c r="DN221" s="329"/>
      <c r="DO221" s="332"/>
      <c r="DP221" s="332"/>
      <c r="DQ221" s="332"/>
      <c r="DR221" s="332"/>
      <c r="DS221" s="329"/>
    </row>
    <row r="222" s="3" customFormat="1" spans="2:123">
      <c r="B222" s="130"/>
      <c r="C222" s="284"/>
      <c r="D222" s="189"/>
      <c r="E222" s="189"/>
      <c r="F222" s="189"/>
      <c r="G222" s="189"/>
      <c r="H222" s="188"/>
      <c r="I222" s="189"/>
      <c r="J222" s="189"/>
      <c r="K222" s="189"/>
      <c r="L222" s="189"/>
      <c r="M222" s="188"/>
      <c r="N222" s="189"/>
      <c r="O222" s="189"/>
      <c r="P222" s="189"/>
      <c r="Q222" s="189"/>
      <c r="R222" s="188"/>
      <c r="S222" s="189"/>
      <c r="T222" s="189"/>
      <c r="U222" s="189"/>
      <c r="V222" s="189"/>
      <c r="W222" s="188"/>
      <c r="X222" s="189"/>
      <c r="Y222" s="189"/>
      <c r="Z222" s="195"/>
      <c r="AA222" s="195"/>
      <c r="AB222" s="188"/>
      <c r="AC222" s="195"/>
      <c r="AD222" s="195"/>
      <c r="AE222" s="195"/>
      <c r="AF222" s="195"/>
      <c r="AG222" s="194"/>
      <c r="AH222" s="195"/>
      <c r="AI222" s="195"/>
      <c r="AJ222" s="195"/>
      <c r="AK222" s="195"/>
      <c r="AL222" s="194"/>
      <c r="AM222" s="195"/>
      <c r="AN222" s="195"/>
      <c r="AO222" s="195"/>
      <c r="AP222" s="195"/>
      <c r="AQ222" s="194"/>
      <c r="AR222" s="195"/>
      <c r="AS222" s="195"/>
      <c r="AT222" s="195"/>
      <c r="AU222" s="195"/>
      <c r="AV222" s="194"/>
      <c r="AW222" s="195"/>
      <c r="AX222" s="195"/>
      <c r="AY222" s="195"/>
      <c r="AZ222" s="195"/>
      <c r="BA222" s="194"/>
      <c r="BB222" s="195"/>
      <c r="BC222" s="195"/>
      <c r="BD222" s="195"/>
      <c r="BE222" s="195"/>
      <c r="BF222" s="194"/>
      <c r="BG222" s="195"/>
      <c r="BH222" s="195"/>
      <c r="BI222" s="195"/>
      <c r="BJ222" s="195"/>
      <c r="BK222" s="194"/>
      <c r="BL222" s="195"/>
      <c r="BM222" s="195"/>
      <c r="BN222" s="195"/>
      <c r="BO222" s="195"/>
      <c r="BP222" s="194"/>
      <c r="BQ222" s="195"/>
      <c r="BR222" s="195"/>
      <c r="BS222" s="195"/>
      <c r="BT222" s="120"/>
      <c r="BU222" s="119"/>
      <c r="BV222" s="120"/>
      <c r="BW222" s="120"/>
      <c r="BX222" s="120"/>
      <c r="BY222" s="189"/>
      <c r="BZ222" s="188"/>
      <c r="CA222" s="189"/>
      <c r="CB222" s="189"/>
      <c r="CC222" s="189"/>
      <c r="CD222" s="189"/>
      <c r="CE222" s="188"/>
      <c r="CF222" s="189"/>
      <c r="CG222" s="189"/>
      <c r="CH222" s="189"/>
      <c r="CI222" s="189"/>
      <c r="CJ222" s="188"/>
      <c r="CK222" s="189"/>
      <c r="CL222" s="189"/>
      <c r="CM222" s="189"/>
      <c r="CN222" s="189"/>
      <c r="CO222" s="188"/>
      <c r="CP222" s="189"/>
      <c r="CQ222" s="189"/>
      <c r="CR222" s="189"/>
      <c r="CS222" s="189"/>
      <c r="CT222" s="188"/>
      <c r="CU222" s="189"/>
      <c r="CV222" s="189"/>
      <c r="CW222" s="189"/>
      <c r="CX222" s="189"/>
      <c r="CY222" s="188"/>
      <c r="CZ222" s="189"/>
      <c r="DA222" s="189"/>
      <c r="DB222" s="189"/>
      <c r="DC222" s="189"/>
      <c r="DD222" s="188"/>
      <c r="DE222" s="189"/>
      <c r="DF222" s="189"/>
      <c r="DG222" s="189"/>
      <c r="DH222" s="189"/>
      <c r="DI222" s="188"/>
      <c r="DJ222" s="189"/>
      <c r="DK222" s="189"/>
      <c r="DL222" s="189"/>
      <c r="DM222" s="189"/>
      <c r="DN222" s="188"/>
      <c r="DO222" s="189"/>
      <c r="DP222" s="189"/>
      <c r="DQ222" s="189"/>
      <c r="DR222" s="189"/>
      <c r="DS222" s="188"/>
    </row>
    <row r="223" s="89" customFormat="1" hidden="1" outlineLevel="1" spans="2:123">
      <c r="B223" s="179" t="s">
        <v>385</v>
      </c>
      <c r="C223" s="337"/>
      <c r="D223" s="132"/>
      <c r="E223" s="132"/>
      <c r="F223" s="132"/>
      <c r="G223" s="132"/>
      <c r="H223" s="131"/>
      <c r="I223" s="132"/>
      <c r="J223" s="132"/>
      <c r="K223" s="132"/>
      <c r="L223" s="132"/>
      <c r="M223" s="131"/>
      <c r="N223" s="132"/>
      <c r="O223" s="132"/>
      <c r="P223" s="132"/>
      <c r="Q223" s="132"/>
      <c r="R223" s="131"/>
      <c r="S223" s="132"/>
      <c r="T223" s="132"/>
      <c r="U223" s="132"/>
      <c r="V223" s="132"/>
      <c r="W223" s="131"/>
      <c r="X223" s="132"/>
      <c r="Y223" s="132"/>
      <c r="Z223" s="132"/>
      <c r="AA223" s="132"/>
      <c r="AB223" s="131"/>
      <c r="AC223" s="132"/>
      <c r="AD223" s="132"/>
      <c r="AE223" s="132"/>
      <c r="AF223" s="132"/>
      <c r="AG223" s="131"/>
      <c r="AH223" s="132"/>
      <c r="AI223" s="132"/>
      <c r="AJ223" s="132"/>
      <c r="AK223" s="132"/>
      <c r="AL223" s="131"/>
      <c r="AM223" s="132"/>
      <c r="AN223" s="132"/>
      <c r="AO223" s="132"/>
      <c r="AP223" s="132"/>
      <c r="AQ223" s="131"/>
      <c r="AR223" s="132"/>
      <c r="AS223" s="132"/>
      <c r="AT223" s="132"/>
      <c r="AU223" s="132"/>
      <c r="AV223" s="131"/>
      <c r="AW223" s="132"/>
      <c r="AX223" s="132"/>
      <c r="AY223" s="132"/>
      <c r="AZ223" s="132"/>
      <c r="BA223" s="131"/>
      <c r="BB223" s="132"/>
      <c r="BC223" s="132"/>
      <c r="BD223" s="132"/>
      <c r="BE223" s="132"/>
      <c r="BF223" s="131"/>
      <c r="BG223" s="132"/>
      <c r="BH223" s="132"/>
      <c r="BI223" s="132"/>
      <c r="BJ223" s="132"/>
      <c r="BK223" s="131"/>
      <c r="BL223" s="132"/>
      <c r="BM223" s="132"/>
      <c r="BN223" s="132"/>
      <c r="BO223" s="132"/>
      <c r="BP223" s="131"/>
      <c r="BQ223" s="132"/>
      <c r="BR223" s="132"/>
      <c r="BS223" s="132"/>
      <c r="BT223" s="125"/>
      <c r="BU223" s="124"/>
      <c r="BV223" s="125"/>
      <c r="BW223" s="125"/>
      <c r="BX223" s="125"/>
      <c r="BY223" s="132"/>
      <c r="BZ223" s="131"/>
      <c r="CA223" s="132"/>
      <c r="CB223" s="132"/>
      <c r="CC223" s="132"/>
      <c r="CD223" s="132"/>
      <c r="CE223" s="131"/>
      <c r="CF223" s="132"/>
      <c r="CG223" s="132"/>
      <c r="CH223" s="132"/>
      <c r="CI223" s="132"/>
      <c r="CJ223" s="124"/>
      <c r="CK223" s="132"/>
      <c r="CL223" s="132"/>
      <c r="CM223" s="132"/>
      <c r="CN223" s="132"/>
      <c r="CO223" s="124">
        <v>137.26</v>
      </c>
      <c r="CP223" s="126">
        <v>35.136</v>
      </c>
      <c r="CQ223" s="126">
        <v>44.514</v>
      </c>
      <c r="CR223" s="126">
        <v>45.074</v>
      </c>
      <c r="CS223" s="126">
        <f>CT223-CP223-CQ223-CR223</f>
        <v>45.693</v>
      </c>
      <c r="CT223" s="127">
        <v>170.417</v>
      </c>
      <c r="CU223" s="126">
        <v>44.326</v>
      </c>
      <c r="CV223" s="126">
        <v>47.824</v>
      </c>
      <c r="CW223" s="126">
        <v>51.726</v>
      </c>
      <c r="CX223" s="126">
        <f>CY223-CU223-CV223-CW223</f>
        <v>61.046</v>
      </c>
      <c r="CY223" s="127">
        <v>204.922</v>
      </c>
      <c r="CZ223" s="126">
        <v>51.441</v>
      </c>
      <c r="DA223" s="126">
        <v>54.499</v>
      </c>
      <c r="DB223" s="126">
        <v>58.035</v>
      </c>
      <c r="DC223" s="126">
        <f>DD223-CZ223-DA223-DB223</f>
        <v>60.709</v>
      </c>
      <c r="DD223" s="134">
        <v>224.684</v>
      </c>
      <c r="DE223" s="126">
        <v>62.254</v>
      </c>
      <c r="DF223" s="132"/>
      <c r="DG223" s="132"/>
      <c r="DH223" s="132"/>
      <c r="DI223" s="131"/>
      <c r="DJ223" s="132"/>
      <c r="DK223" s="132"/>
      <c r="DL223" s="132"/>
      <c r="DM223" s="132"/>
      <c r="DN223" s="131"/>
      <c r="DO223" s="132"/>
      <c r="DP223" s="132"/>
      <c r="DQ223" s="132"/>
      <c r="DR223" s="132"/>
      <c r="DS223" s="131"/>
    </row>
    <row r="224" s="89" customFormat="1" hidden="1" outlineLevel="1" spans="2:123">
      <c r="B224" s="175" t="s">
        <v>386</v>
      </c>
      <c r="C224" s="337"/>
      <c r="D224" s="132"/>
      <c r="E224" s="132"/>
      <c r="F224" s="132"/>
      <c r="G224" s="132"/>
      <c r="H224" s="131"/>
      <c r="I224" s="132"/>
      <c r="J224" s="132"/>
      <c r="K224" s="132"/>
      <c r="L224" s="132"/>
      <c r="M224" s="131"/>
      <c r="N224" s="132"/>
      <c r="O224" s="132"/>
      <c r="P224" s="132"/>
      <c r="Q224" s="132"/>
      <c r="R224" s="131"/>
      <c r="S224" s="132"/>
      <c r="T224" s="132"/>
      <c r="U224" s="132"/>
      <c r="V224" s="132"/>
      <c r="W224" s="131"/>
      <c r="X224" s="132"/>
      <c r="Y224" s="132"/>
      <c r="Z224" s="132"/>
      <c r="AA224" s="132"/>
      <c r="AB224" s="131"/>
      <c r="AC224" s="132"/>
      <c r="AD224" s="132"/>
      <c r="AE224" s="132"/>
      <c r="AF224" s="132"/>
      <c r="AG224" s="131"/>
      <c r="AH224" s="132"/>
      <c r="AI224" s="132"/>
      <c r="AJ224" s="132"/>
      <c r="AK224" s="132"/>
      <c r="AL224" s="131"/>
      <c r="AM224" s="132"/>
      <c r="AN224" s="132"/>
      <c r="AO224" s="132"/>
      <c r="AP224" s="132"/>
      <c r="AQ224" s="131"/>
      <c r="AR224" s="132"/>
      <c r="AS224" s="132"/>
      <c r="AT224" s="132"/>
      <c r="AU224" s="132"/>
      <c r="AV224" s="131"/>
      <c r="AW224" s="132"/>
      <c r="AX224" s="132"/>
      <c r="AY224" s="132"/>
      <c r="AZ224" s="132"/>
      <c r="BA224" s="131"/>
      <c r="BB224" s="132"/>
      <c r="BC224" s="132"/>
      <c r="BD224" s="132"/>
      <c r="BE224" s="132"/>
      <c r="BF224" s="131"/>
      <c r="BG224" s="132"/>
      <c r="BH224" s="132"/>
      <c r="BI224" s="132"/>
      <c r="BJ224" s="132"/>
      <c r="BK224" s="131"/>
      <c r="BL224" s="132"/>
      <c r="BM224" s="132"/>
      <c r="BN224" s="132"/>
      <c r="BO224" s="132"/>
      <c r="BP224" s="131"/>
      <c r="BQ224" s="132"/>
      <c r="BR224" s="132"/>
      <c r="BS224" s="132"/>
      <c r="BT224" s="125"/>
      <c r="BU224" s="124"/>
      <c r="BV224" s="125"/>
      <c r="BW224" s="125"/>
      <c r="BX224" s="125"/>
      <c r="BY224" s="132"/>
      <c r="BZ224" s="131"/>
      <c r="CA224" s="132"/>
      <c r="CB224" s="132"/>
      <c r="CC224" s="132"/>
      <c r="CD224" s="132"/>
      <c r="CE224" s="131"/>
      <c r="CF224" s="132"/>
      <c r="CG224" s="132"/>
      <c r="CH224" s="132"/>
      <c r="CI224" s="132"/>
      <c r="CJ224" s="131"/>
      <c r="CK224" s="132"/>
      <c r="CL224" s="132"/>
      <c r="CM224" s="132"/>
      <c r="CN224" s="132"/>
      <c r="CO224" s="131">
        <f t="shared" ref="CO224:CY224" si="1195">CO213+CO223</f>
        <v>2641</v>
      </c>
      <c r="CP224" s="133">
        <f t="shared" si="1195"/>
        <v>616.358</v>
      </c>
      <c r="CQ224" s="133">
        <f t="shared" si="1195"/>
        <v>705.084</v>
      </c>
      <c r="CR224" s="133">
        <f t="shared" si="1195"/>
        <v>681.788</v>
      </c>
      <c r="CS224" s="133">
        <f t="shared" si="1195"/>
        <v>1104.371</v>
      </c>
      <c r="CT224" s="134">
        <f t="shared" si="1195"/>
        <v>3107.601</v>
      </c>
      <c r="CU224" s="133">
        <f t="shared" si="1195"/>
        <v>609.166</v>
      </c>
      <c r="CV224" s="133">
        <f t="shared" si="1195"/>
        <v>717.251</v>
      </c>
      <c r="CW224" s="133">
        <f t="shared" si="1195"/>
        <v>706.665</v>
      </c>
      <c r="CX224" s="133">
        <f t="shared" si="1195"/>
        <v>1187.397</v>
      </c>
      <c r="CY224" s="134">
        <f t="shared" si="1195"/>
        <v>3220.479</v>
      </c>
      <c r="CZ224" s="133">
        <f t="shared" ref="CZ224:DA224" si="1196">CZ213+CZ223</f>
        <v>640.772</v>
      </c>
      <c r="DA224" s="133">
        <f t="shared" si="1196"/>
        <v>673.893</v>
      </c>
      <c r="DB224" s="133">
        <f t="shared" ref="DB224:DE224" si="1197">DB213+DB223</f>
        <v>575.523</v>
      </c>
      <c r="DC224" s="133">
        <f t="shared" si="1197"/>
        <v>895.154</v>
      </c>
      <c r="DD224" s="134">
        <f t="shared" si="1197"/>
        <v>2785.342</v>
      </c>
      <c r="DE224" s="133">
        <f t="shared" si="1197"/>
        <v>470.734</v>
      </c>
      <c r="DF224" s="132"/>
      <c r="DG224" s="132"/>
      <c r="DH224" s="132"/>
      <c r="DI224" s="131"/>
      <c r="DJ224" s="132"/>
      <c r="DK224" s="132"/>
      <c r="DL224" s="132"/>
      <c r="DM224" s="132"/>
      <c r="DN224" s="131"/>
      <c r="DO224" s="132"/>
      <c r="DP224" s="132"/>
      <c r="DQ224" s="132"/>
      <c r="DR224" s="132"/>
      <c r="DS224" s="131"/>
    </row>
    <row r="225" s="3" customFormat="1" hidden="1" outlineLevel="1" spans="2:123">
      <c r="B225" s="144" t="s">
        <v>370</v>
      </c>
      <c r="C225" s="284"/>
      <c r="D225" s="189"/>
      <c r="E225" s="189"/>
      <c r="F225" s="189"/>
      <c r="G225" s="189"/>
      <c r="H225" s="188"/>
      <c r="I225" s="189"/>
      <c r="J225" s="189"/>
      <c r="K225" s="189"/>
      <c r="L225" s="189"/>
      <c r="M225" s="188"/>
      <c r="N225" s="189"/>
      <c r="O225" s="189"/>
      <c r="P225" s="189"/>
      <c r="Q225" s="189"/>
      <c r="R225" s="188"/>
      <c r="S225" s="189"/>
      <c r="T225" s="189"/>
      <c r="U225" s="189"/>
      <c r="V225" s="189"/>
      <c r="W225" s="188"/>
      <c r="X225" s="189"/>
      <c r="Y225" s="189"/>
      <c r="Z225" s="195"/>
      <c r="AA225" s="195"/>
      <c r="AB225" s="188"/>
      <c r="AC225" s="195"/>
      <c r="AD225" s="195"/>
      <c r="AE225" s="195"/>
      <c r="AF225" s="195"/>
      <c r="AG225" s="194"/>
      <c r="AH225" s="195"/>
      <c r="AI225" s="195"/>
      <c r="AJ225" s="195"/>
      <c r="AK225" s="195"/>
      <c r="AL225" s="194"/>
      <c r="AM225" s="195"/>
      <c r="AN225" s="195"/>
      <c r="AO225" s="195"/>
      <c r="AP225" s="195"/>
      <c r="AQ225" s="194"/>
      <c r="AR225" s="195"/>
      <c r="AS225" s="195"/>
      <c r="AT225" s="195"/>
      <c r="AU225" s="195"/>
      <c r="AV225" s="194"/>
      <c r="AW225" s="195"/>
      <c r="AX225" s="195"/>
      <c r="AY225" s="195"/>
      <c r="AZ225" s="195"/>
      <c r="BA225" s="194"/>
      <c r="BB225" s="195"/>
      <c r="BC225" s="195"/>
      <c r="BD225" s="195"/>
      <c r="BE225" s="195"/>
      <c r="BF225" s="194"/>
      <c r="BG225" s="195"/>
      <c r="BH225" s="195"/>
      <c r="BI225" s="195"/>
      <c r="BJ225" s="195"/>
      <c r="BK225" s="194"/>
      <c r="BL225" s="195"/>
      <c r="BM225" s="195"/>
      <c r="BN225" s="195"/>
      <c r="BO225" s="195"/>
      <c r="BP225" s="194"/>
      <c r="BQ225" s="195"/>
      <c r="BR225" s="195"/>
      <c r="BS225" s="195"/>
      <c r="BT225" s="120"/>
      <c r="BU225" s="119"/>
      <c r="BV225" s="120"/>
      <c r="BW225" s="120"/>
      <c r="BX225" s="120"/>
      <c r="BY225" s="189"/>
      <c r="BZ225" s="188"/>
      <c r="CA225" s="189"/>
      <c r="CB225" s="189"/>
      <c r="CC225" s="189"/>
      <c r="CD225" s="189"/>
      <c r="CE225" s="188"/>
      <c r="CF225" s="189"/>
      <c r="CG225" s="189"/>
      <c r="CH225" s="189"/>
      <c r="CI225" s="189"/>
      <c r="CJ225" s="140"/>
      <c r="CK225" s="189"/>
      <c r="CL225" s="189"/>
      <c r="CM225" s="189"/>
      <c r="CN225" s="189"/>
      <c r="CO225" s="749" t="s">
        <v>208</v>
      </c>
      <c r="CP225" s="772" t="s">
        <v>208</v>
      </c>
      <c r="CQ225" s="772" t="s">
        <v>208</v>
      </c>
      <c r="CR225" s="772" t="s">
        <v>208</v>
      </c>
      <c r="CS225" s="772" t="s">
        <v>208</v>
      </c>
      <c r="CT225" s="140">
        <f t="shared" ref="CT225:DE225" si="1198">CT224/CO224-1</f>
        <v>0.176675880348353</v>
      </c>
      <c r="CU225" s="291">
        <f t="shared" si="1198"/>
        <v>-0.011668543281664</v>
      </c>
      <c r="CV225" s="291">
        <f t="shared" si="1198"/>
        <v>0.0172560999824134</v>
      </c>
      <c r="CW225" s="291">
        <f t="shared" si="1198"/>
        <v>0.0364878818635703</v>
      </c>
      <c r="CX225" s="291">
        <f t="shared" si="1198"/>
        <v>0.0751794460376081</v>
      </c>
      <c r="CY225" s="140">
        <f t="shared" si="1198"/>
        <v>0.036323195931524</v>
      </c>
      <c r="CZ225" s="291">
        <f t="shared" si="1198"/>
        <v>0.0518840513094954</v>
      </c>
      <c r="DA225" s="291">
        <f t="shared" si="1198"/>
        <v>-0.0604502468452466</v>
      </c>
      <c r="DB225" s="291">
        <f t="shared" si="1198"/>
        <v>-0.185578739572499</v>
      </c>
      <c r="DC225" s="291">
        <f t="shared" si="1198"/>
        <v>-0.246120716154749</v>
      </c>
      <c r="DD225" s="140">
        <f t="shared" si="1198"/>
        <v>-0.13511561478898</v>
      </c>
      <c r="DE225" s="291">
        <f t="shared" si="1198"/>
        <v>-0.265364279338049</v>
      </c>
      <c r="DF225" s="189"/>
      <c r="DG225" s="189"/>
      <c r="DH225" s="189"/>
      <c r="DI225" s="188"/>
      <c r="DJ225" s="189"/>
      <c r="DK225" s="189"/>
      <c r="DL225" s="189"/>
      <c r="DM225" s="189"/>
      <c r="DN225" s="188"/>
      <c r="DO225" s="189"/>
      <c r="DP225" s="189"/>
      <c r="DQ225" s="189"/>
      <c r="DR225" s="189"/>
      <c r="DS225" s="188"/>
    </row>
    <row r="226" s="3" customFormat="1" hidden="1" outlineLevel="1" spans="2:123">
      <c r="B226" s="144" t="s">
        <v>322</v>
      </c>
      <c r="C226" s="284"/>
      <c r="D226" s="189"/>
      <c r="E226" s="189"/>
      <c r="F226" s="189"/>
      <c r="G226" s="189"/>
      <c r="H226" s="188"/>
      <c r="I226" s="189"/>
      <c r="J226" s="189"/>
      <c r="K226" s="189"/>
      <c r="L226" s="189"/>
      <c r="M226" s="188"/>
      <c r="N226" s="189"/>
      <c r="O226" s="189"/>
      <c r="P226" s="189"/>
      <c r="Q226" s="189"/>
      <c r="R226" s="188"/>
      <c r="S226" s="189"/>
      <c r="T226" s="189"/>
      <c r="U226" s="189"/>
      <c r="V226" s="189"/>
      <c r="W226" s="188"/>
      <c r="X226" s="189"/>
      <c r="Y226" s="189"/>
      <c r="Z226" s="195"/>
      <c r="AA226" s="195"/>
      <c r="AB226" s="188"/>
      <c r="AC226" s="195"/>
      <c r="AD226" s="195"/>
      <c r="AE226" s="195"/>
      <c r="AF226" s="195"/>
      <c r="AG226" s="194"/>
      <c r="AH226" s="195"/>
      <c r="AI226" s="195"/>
      <c r="AJ226" s="195"/>
      <c r="AK226" s="195"/>
      <c r="AL226" s="194"/>
      <c r="AM226" s="195"/>
      <c r="AN226" s="195"/>
      <c r="AO226" s="195"/>
      <c r="AP226" s="195"/>
      <c r="AQ226" s="194"/>
      <c r="AR226" s="195"/>
      <c r="AS226" s="195"/>
      <c r="AT226" s="195"/>
      <c r="AU226" s="195"/>
      <c r="AV226" s="194"/>
      <c r="AW226" s="195"/>
      <c r="AX226" s="195"/>
      <c r="AY226" s="195"/>
      <c r="AZ226" s="195"/>
      <c r="BA226" s="194"/>
      <c r="BB226" s="195"/>
      <c r="BC226" s="195"/>
      <c r="BD226" s="195"/>
      <c r="BE226" s="195"/>
      <c r="BF226" s="194"/>
      <c r="BG226" s="195"/>
      <c r="BH226" s="195"/>
      <c r="BI226" s="195"/>
      <c r="BJ226" s="195"/>
      <c r="BK226" s="194"/>
      <c r="BL226" s="195"/>
      <c r="BM226" s="195"/>
      <c r="BN226" s="195"/>
      <c r="BO226" s="195"/>
      <c r="BP226" s="194"/>
      <c r="BQ226" s="195"/>
      <c r="BR226" s="195"/>
      <c r="BS226" s="195"/>
      <c r="BT226" s="120"/>
      <c r="BU226" s="119"/>
      <c r="BV226" s="120"/>
      <c r="BW226" s="120"/>
      <c r="BX226" s="120"/>
      <c r="BY226" s="189"/>
      <c r="BZ226" s="188"/>
      <c r="CA226" s="189"/>
      <c r="CB226" s="189"/>
      <c r="CC226" s="189"/>
      <c r="CD226" s="189"/>
      <c r="CE226" s="188"/>
      <c r="CF226" s="189"/>
      <c r="CG226" s="189"/>
      <c r="CH226" s="189"/>
      <c r="CI226" s="189"/>
      <c r="CJ226" s="140"/>
      <c r="CK226" s="189"/>
      <c r="CL226" s="189"/>
      <c r="CM226" s="189"/>
      <c r="CN226" s="189"/>
      <c r="CO226" s="140">
        <f t="shared" ref="CO226:DE226" si="1199">CO224/CO173</f>
        <v>0.387388019046406</v>
      </c>
      <c r="CP226" s="343">
        <f t="shared" si="1199"/>
        <v>0.393151151531697</v>
      </c>
      <c r="CQ226" s="343">
        <f t="shared" si="1199"/>
        <v>0.409986666844985</v>
      </c>
      <c r="CR226" s="343">
        <f t="shared" si="1199"/>
        <v>0.393551597265755</v>
      </c>
      <c r="CS226" s="343">
        <f t="shared" si="1199"/>
        <v>0.422849075979291</v>
      </c>
      <c r="CT226" s="140">
        <f t="shared" si="1199"/>
        <v>0.407199258561094</v>
      </c>
      <c r="CU226" s="343">
        <f t="shared" si="1199"/>
        <v>0.37550361716712</v>
      </c>
      <c r="CV226" s="343">
        <f t="shared" si="1199"/>
        <v>0.411874014102179</v>
      </c>
      <c r="CW226" s="343">
        <f t="shared" si="1199"/>
        <v>0.399159616399173</v>
      </c>
      <c r="CX226" s="343">
        <f t="shared" si="1199"/>
        <v>0.424969319027357</v>
      </c>
      <c r="CY226" s="140">
        <f t="shared" si="1199"/>
        <v>0.406207824366725</v>
      </c>
      <c r="CZ226" s="343">
        <f t="shared" si="1199"/>
        <v>0.382651422046892</v>
      </c>
      <c r="DA226" s="343">
        <f t="shared" si="1199"/>
        <v>0.383282040840238</v>
      </c>
      <c r="DB226" s="343">
        <f t="shared" si="1199"/>
        <v>0.332023177810777</v>
      </c>
      <c r="DC226" s="343">
        <f t="shared" si="1199"/>
        <v>0.333902174914496</v>
      </c>
      <c r="DD226" s="140">
        <f t="shared" si="1199"/>
        <v>0.354954298714267</v>
      </c>
      <c r="DE226" s="343">
        <f t="shared" si="1199"/>
        <v>0.290359669629474</v>
      </c>
      <c r="DF226" s="189"/>
      <c r="DG226" s="189"/>
      <c r="DH226" s="189"/>
      <c r="DI226" s="188"/>
      <c r="DJ226" s="189"/>
      <c r="DK226" s="189"/>
      <c r="DL226" s="189"/>
      <c r="DM226" s="189"/>
      <c r="DN226" s="188"/>
      <c r="DO226" s="189"/>
      <c r="DP226" s="189"/>
      <c r="DQ226" s="189"/>
      <c r="DR226" s="189"/>
      <c r="DS226" s="188"/>
    </row>
    <row r="227" s="3" customFormat="1" hidden="1" outlineLevel="1" spans="2:123">
      <c r="B227" s="144" t="s">
        <v>379</v>
      </c>
      <c r="C227" s="284"/>
      <c r="D227" s="189"/>
      <c r="E227" s="189"/>
      <c r="F227" s="189"/>
      <c r="G227" s="189"/>
      <c r="H227" s="188"/>
      <c r="I227" s="189"/>
      <c r="J227" s="189"/>
      <c r="K227" s="189"/>
      <c r="L227" s="189"/>
      <c r="M227" s="188"/>
      <c r="N227" s="189"/>
      <c r="O227" s="189"/>
      <c r="P227" s="189"/>
      <c r="Q227" s="189"/>
      <c r="R227" s="188"/>
      <c r="S227" s="189"/>
      <c r="T227" s="189"/>
      <c r="U227" s="189"/>
      <c r="V227" s="189"/>
      <c r="W227" s="188"/>
      <c r="X227" s="189"/>
      <c r="Y227" s="189"/>
      <c r="Z227" s="195"/>
      <c r="AA227" s="195"/>
      <c r="AB227" s="188"/>
      <c r="AC227" s="195"/>
      <c r="AD227" s="195"/>
      <c r="AE227" s="195"/>
      <c r="AF227" s="195"/>
      <c r="AG227" s="194"/>
      <c r="AH227" s="195"/>
      <c r="AI227" s="195"/>
      <c r="AJ227" s="195"/>
      <c r="AK227" s="195"/>
      <c r="AL227" s="194"/>
      <c r="AM227" s="195"/>
      <c r="AN227" s="195"/>
      <c r="AO227" s="195"/>
      <c r="AP227" s="195"/>
      <c r="AQ227" s="194"/>
      <c r="AR227" s="195"/>
      <c r="AS227" s="195"/>
      <c r="AT227" s="195"/>
      <c r="AU227" s="195"/>
      <c r="AV227" s="194"/>
      <c r="AW227" s="195"/>
      <c r="AX227" s="195"/>
      <c r="AY227" s="195"/>
      <c r="AZ227" s="195"/>
      <c r="BA227" s="194"/>
      <c r="BB227" s="195"/>
      <c r="BC227" s="195"/>
      <c r="BD227" s="195"/>
      <c r="BE227" s="195"/>
      <c r="BF227" s="194"/>
      <c r="BG227" s="195"/>
      <c r="BH227" s="195"/>
      <c r="BI227" s="195"/>
      <c r="BJ227" s="195"/>
      <c r="BK227" s="194"/>
      <c r="BL227" s="195"/>
      <c r="BM227" s="195"/>
      <c r="BN227" s="195"/>
      <c r="BO227" s="195"/>
      <c r="BP227" s="194"/>
      <c r="BQ227" s="195"/>
      <c r="BR227" s="195"/>
      <c r="BS227" s="195"/>
      <c r="BT227" s="120"/>
      <c r="BU227" s="119"/>
      <c r="BV227" s="120"/>
      <c r="BW227" s="120"/>
      <c r="BX227" s="120"/>
      <c r="BY227" s="189"/>
      <c r="BZ227" s="188"/>
      <c r="CA227" s="189"/>
      <c r="CB227" s="189"/>
      <c r="CC227" s="189"/>
      <c r="CD227" s="189"/>
      <c r="CE227" s="188"/>
      <c r="CF227" s="189"/>
      <c r="CG227" s="189"/>
      <c r="CH227" s="189"/>
      <c r="CI227" s="189"/>
      <c r="CJ227" s="140"/>
      <c r="CK227" s="189"/>
      <c r="CL227" s="189"/>
      <c r="CM227" s="189"/>
      <c r="CN227" s="189"/>
      <c r="CO227" s="749" t="s">
        <v>208</v>
      </c>
      <c r="CP227" s="772" t="s">
        <v>208</v>
      </c>
      <c r="CQ227" s="772" t="s">
        <v>208</v>
      </c>
      <c r="CR227" s="772" t="s">
        <v>208</v>
      </c>
      <c r="CS227" s="772" t="s">
        <v>208</v>
      </c>
      <c r="CT227" s="329">
        <f t="shared" ref="CT227:DE227" si="1200">(CT226-CO226)*100*100</f>
        <v>198.112395146879</v>
      </c>
      <c r="CU227" s="330">
        <f t="shared" si="1200"/>
        <v>-176.475343645776</v>
      </c>
      <c r="CV227" s="330">
        <f t="shared" si="1200"/>
        <v>18.8734725719425</v>
      </c>
      <c r="CW227" s="330">
        <f t="shared" si="1200"/>
        <v>56.080191334173</v>
      </c>
      <c r="CX227" s="330">
        <f t="shared" si="1200"/>
        <v>21.2024304806624</v>
      </c>
      <c r="CY227" s="329">
        <f t="shared" si="1200"/>
        <v>-9.91434194368979</v>
      </c>
      <c r="CZ227" s="330">
        <f t="shared" si="1200"/>
        <v>71.4780487977279</v>
      </c>
      <c r="DA227" s="330">
        <f t="shared" si="1200"/>
        <v>-285.919732619415</v>
      </c>
      <c r="DB227" s="330">
        <f t="shared" si="1200"/>
        <v>-671.364385883957</v>
      </c>
      <c r="DC227" s="330">
        <f t="shared" si="1200"/>
        <v>-910.671441128603</v>
      </c>
      <c r="DD227" s="329">
        <f t="shared" si="1200"/>
        <v>-512.535256524579</v>
      </c>
      <c r="DE227" s="330">
        <f t="shared" si="1200"/>
        <v>-922.917524174181</v>
      </c>
      <c r="DF227" s="189"/>
      <c r="DG227" s="189"/>
      <c r="DH227" s="189"/>
      <c r="DI227" s="188"/>
      <c r="DJ227" s="189"/>
      <c r="DK227" s="189"/>
      <c r="DL227" s="189"/>
      <c r="DM227" s="189"/>
      <c r="DN227" s="188"/>
      <c r="DO227" s="189"/>
      <c r="DP227" s="189"/>
      <c r="DQ227" s="189"/>
      <c r="DR227" s="189"/>
      <c r="DS227" s="188"/>
    </row>
    <row r="228" s="3" customFormat="1" hidden="1" outlineLevel="1" spans="2:123">
      <c r="B228" s="321"/>
      <c r="C228" s="322"/>
      <c r="D228" s="323"/>
      <c r="E228" s="323"/>
      <c r="F228" s="323"/>
      <c r="G228" s="323"/>
      <c r="H228" s="324"/>
      <c r="I228" s="323"/>
      <c r="J228" s="323"/>
      <c r="K228" s="323"/>
      <c r="L228" s="323"/>
      <c r="M228" s="324"/>
      <c r="N228" s="323"/>
      <c r="O228" s="323"/>
      <c r="P228" s="323"/>
      <c r="Q228" s="323"/>
      <c r="R228" s="324"/>
      <c r="S228" s="323"/>
      <c r="T228" s="323"/>
      <c r="U228" s="323"/>
      <c r="V228" s="323"/>
      <c r="W228" s="324"/>
      <c r="X228" s="323"/>
      <c r="Y228" s="323"/>
      <c r="Z228" s="325"/>
      <c r="AA228" s="325"/>
      <c r="AB228" s="324"/>
      <c r="AC228" s="325"/>
      <c r="AD228" s="325"/>
      <c r="AE228" s="325"/>
      <c r="AF228" s="325"/>
      <c r="AG228" s="326"/>
      <c r="AH228" s="325"/>
      <c r="AI228" s="325"/>
      <c r="AJ228" s="325"/>
      <c r="AK228" s="325"/>
      <c r="AL228" s="326"/>
      <c r="AM228" s="325"/>
      <c r="AN228" s="325"/>
      <c r="AO228" s="325"/>
      <c r="AP228" s="325"/>
      <c r="AQ228" s="326"/>
      <c r="AR228" s="325"/>
      <c r="AS228" s="325"/>
      <c r="AT228" s="325"/>
      <c r="AU228" s="325"/>
      <c r="AV228" s="326"/>
      <c r="AW228" s="325"/>
      <c r="AX228" s="325"/>
      <c r="AY228" s="325"/>
      <c r="AZ228" s="325"/>
      <c r="BA228" s="326"/>
      <c r="BB228" s="325"/>
      <c r="BC228" s="325"/>
      <c r="BD228" s="325"/>
      <c r="BE228" s="325"/>
      <c r="BF228" s="326"/>
      <c r="BG228" s="325"/>
      <c r="BH228" s="325"/>
      <c r="BI228" s="325"/>
      <c r="BJ228" s="325"/>
      <c r="BK228" s="326"/>
      <c r="BL228" s="325"/>
      <c r="BM228" s="325"/>
      <c r="BN228" s="325"/>
      <c r="BO228" s="325"/>
      <c r="BP228" s="326"/>
      <c r="BQ228" s="325"/>
      <c r="BR228" s="325"/>
      <c r="BS228" s="325"/>
      <c r="BT228" s="327"/>
      <c r="BU228" s="328"/>
      <c r="BV228" s="327"/>
      <c r="BW228" s="327"/>
      <c r="BX228" s="327"/>
      <c r="BY228" s="323"/>
      <c r="BZ228" s="324"/>
      <c r="CA228" s="323"/>
      <c r="CB228" s="323"/>
      <c r="CC228" s="323"/>
      <c r="CD228" s="323"/>
      <c r="CE228" s="324"/>
      <c r="CF228" s="323"/>
      <c r="CG228" s="323"/>
      <c r="CH228" s="323"/>
      <c r="CI228" s="323"/>
      <c r="CJ228" s="324"/>
      <c r="CK228" s="323"/>
      <c r="CL228" s="323"/>
      <c r="CM228" s="323"/>
      <c r="CN228" s="323"/>
      <c r="CO228" s="324"/>
      <c r="CP228" s="323"/>
      <c r="CQ228" s="323"/>
      <c r="CR228" s="323"/>
      <c r="CS228" s="323"/>
      <c r="CT228" s="324"/>
      <c r="CU228" s="323"/>
      <c r="CV228" s="323"/>
      <c r="CW228" s="323"/>
      <c r="CX228" s="323"/>
      <c r="CY228" s="324"/>
      <c r="CZ228" s="323"/>
      <c r="DA228" s="323"/>
      <c r="DB228" s="323"/>
      <c r="DC228" s="323"/>
      <c r="DD228" s="324"/>
      <c r="DE228" s="323"/>
      <c r="DF228" s="323"/>
      <c r="DG228" s="323"/>
      <c r="DH228" s="323"/>
      <c r="DI228" s="324"/>
      <c r="DJ228" s="323"/>
      <c r="DK228" s="323"/>
      <c r="DL228" s="323"/>
      <c r="DM228" s="323"/>
      <c r="DN228" s="188"/>
      <c r="DO228" s="189"/>
      <c r="DP228" s="323"/>
      <c r="DQ228" s="323"/>
      <c r="DR228" s="323"/>
      <c r="DS228" s="324"/>
    </row>
    <row r="229" s="3" customFormat="1" collapsed="1" spans="2:123">
      <c r="B229" s="184" t="s">
        <v>387</v>
      </c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  <c r="BM229" s="185"/>
      <c r="BN229" s="185"/>
      <c r="BO229" s="185"/>
      <c r="BP229" s="185"/>
      <c r="BQ229" s="185"/>
      <c r="BR229" s="185"/>
      <c r="BS229" s="185"/>
      <c r="BT229" s="185"/>
      <c r="BU229" s="185"/>
      <c r="BV229" s="185"/>
      <c r="BW229" s="185"/>
      <c r="BX229" s="185"/>
      <c r="BY229" s="185"/>
      <c r="BZ229" s="185"/>
      <c r="CA229" s="185"/>
      <c r="CB229" s="185"/>
      <c r="CC229" s="185"/>
      <c r="CD229" s="185"/>
      <c r="CE229" s="185"/>
      <c r="CF229" s="282"/>
      <c r="CG229" s="282"/>
      <c r="CH229" s="282"/>
      <c r="CI229" s="282"/>
      <c r="CJ229" s="185"/>
      <c r="CK229" s="282"/>
      <c r="CL229" s="282"/>
      <c r="CM229" s="282"/>
      <c r="CN229" s="282"/>
      <c r="CO229" s="185"/>
      <c r="CP229" s="282"/>
      <c r="CQ229" s="282"/>
      <c r="CR229" s="282"/>
      <c r="CS229" s="282"/>
      <c r="CT229" s="185"/>
      <c r="CU229" s="185"/>
      <c r="CV229" s="185"/>
      <c r="CW229" s="185"/>
      <c r="CX229" s="185"/>
      <c r="CY229" s="185"/>
      <c r="CZ229" s="185"/>
      <c r="DA229" s="185"/>
      <c r="DB229" s="185"/>
      <c r="DC229" s="185"/>
      <c r="DD229" s="185"/>
      <c r="DE229" s="282"/>
      <c r="DF229" s="185"/>
      <c r="DG229" s="185"/>
      <c r="DH229" s="185"/>
      <c r="DI229" s="185"/>
      <c r="DJ229" s="185"/>
      <c r="DK229" s="185"/>
      <c r="DL229" s="185"/>
      <c r="DM229" s="185"/>
      <c r="DN229" s="185"/>
      <c r="DO229" s="185"/>
      <c r="DP229" s="185"/>
      <c r="DQ229" s="185"/>
      <c r="DR229" s="185"/>
      <c r="DS229" s="186"/>
    </row>
    <row r="230" s="3" customFormat="1" hidden="1" outlineLevel="1" spans="2:123">
      <c r="B230" s="130"/>
      <c r="C230" s="284"/>
      <c r="D230" s="189"/>
      <c r="E230" s="189"/>
      <c r="F230" s="189"/>
      <c r="G230" s="189"/>
      <c r="H230" s="188"/>
      <c r="I230" s="189"/>
      <c r="J230" s="189"/>
      <c r="K230" s="189"/>
      <c r="L230" s="189"/>
      <c r="M230" s="188"/>
      <c r="N230" s="189"/>
      <c r="O230" s="189"/>
      <c r="P230" s="189"/>
      <c r="Q230" s="189"/>
      <c r="R230" s="188"/>
      <c r="S230" s="189"/>
      <c r="T230" s="189"/>
      <c r="U230" s="189"/>
      <c r="V230" s="189"/>
      <c r="W230" s="188"/>
      <c r="X230" s="189"/>
      <c r="Y230" s="189"/>
      <c r="Z230" s="195"/>
      <c r="AA230" s="195"/>
      <c r="AB230" s="188"/>
      <c r="AC230" s="195"/>
      <c r="AD230" s="195"/>
      <c r="AE230" s="195"/>
      <c r="AF230" s="195"/>
      <c r="AG230" s="194"/>
      <c r="AH230" s="195"/>
      <c r="AI230" s="195"/>
      <c r="AJ230" s="195"/>
      <c r="AK230" s="195"/>
      <c r="AL230" s="194"/>
      <c r="AM230" s="195"/>
      <c r="AN230" s="195"/>
      <c r="AO230" s="195"/>
      <c r="AP230" s="195"/>
      <c r="AQ230" s="194"/>
      <c r="AR230" s="195"/>
      <c r="AS230" s="195"/>
      <c r="AT230" s="195"/>
      <c r="AU230" s="195"/>
      <c r="AV230" s="194"/>
      <c r="AW230" s="195"/>
      <c r="AX230" s="195"/>
      <c r="AY230" s="195"/>
      <c r="AZ230" s="195"/>
      <c r="BA230" s="194"/>
      <c r="BB230" s="195"/>
      <c r="BC230" s="195"/>
      <c r="BD230" s="195"/>
      <c r="BE230" s="195"/>
      <c r="BF230" s="194"/>
      <c r="BG230" s="195"/>
      <c r="BH230" s="195"/>
      <c r="BI230" s="195"/>
      <c r="BJ230" s="195"/>
      <c r="BK230" s="194"/>
      <c r="BL230" s="195"/>
      <c r="BM230" s="195"/>
      <c r="BN230" s="195"/>
      <c r="BO230" s="195"/>
      <c r="BP230" s="194"/>
      <c r="BQ230" s="195"/>
      <c r="BR230" s="195"/>
      <c r="BS230" s="195"/>
      <c r="BT230" s="120"/>
      <c r="BU230" s="119"/>
      <c r="BV230" s="120"/>
      <c r="BW230" s="120"/>
      <c r="BX230" s="120"/>
      <c r="BY230" s="189"/>
      <c r="BZ230" s="188"/>
      <c r="CA230" s="189"/>
      <c r="CB230" s="189"/>
      <c r="CC230" s="189"/>
      <c r="CD230" s="189"/>
      <c r="CE230" s="188"/>
      <c r="CF230" s="189"/>
      <c r="CG230" s="189"/>
      <c r="CH230" s="189"/>
      <c r="CI230" s="189"/>
      <c r="CJ230" s="188"/>
      <c r="CK230" s="189"/>
      <c r="CL230" s="189"/>
      <c r="CM230" s="189"/>
      <c r="CN230" s="189"/>
      <c r="CO230" s="188"/>
      <c r="CP230" s="189"/>
      <c r="CQ230" s="189"/>
      <c r="CR230" s="189"/>
      <c r="CS230" s="189"/>
      <c r="CT230" s="188"/>
      <c r="CU230" s="189"/>
      <c r="CV230" s="189"/>
      <c r="CW230" s="189"/>
      <c r="CX230" s="335"/>
      <c r="CY230" s="188"/>
      <c r="CZ230" s="335"/>
      <c r="DA230" s="335"/>
      <c r="DB230" s="335"/>
      <c r="DC230" s="286"/>
      <c r="DD230" s="188"/>
      <c r="DE230" s="189"/>
      <c r="DF230" s="189"/>
      <c r="DG230" s="189"/>
      <c r="DH230" s="189"/>
      <c r="DI230" s="188"/>
      <c r="DJ230" s="189"/>
      <c r="DK230" s="189"/>
      <c r="DL230" s="189"/>
      <c r="DM230" s="189"/>
      <c r="DN230" s="188"/>
      <c r="DO230" s="189"/>
      <c r="DP230" s="189"/>
      <c r="DQ230" s="189"/>
      <c r="DR230" s="189"/>
      <c r="DS230" s="188"/>
    </row>
    <row r="231" s="88" customFormat="1" hidden="1" outlineLevel="1" spans="2:123">
      <c r="B231" s="179" t="s">
        <v>388</v>
      </c>
      <c r="C231" s="344"/>
      <c r="D231" s="345"/>
      <c r="E231" s="345"/>
      <c r="F231" s="345"/>
      <c r="G231" s="345"/>
      <c r="H231" s="346"/>
      <c r="I231" s="347"/>
      <c r="J231" s="347"/>
      <c r="K231" s="347"/>
      <c r="L231" s="347"/>
      <c r="M231" s="346"/>
      <c r="N231" s="347"/>
      <c r="O231" s="347"/>
      <c r="P231" s="347"/>
      <c r="Q231" s="347"/>
      <c r="R231" s="346"/>
      <c r="S231" s="347"/>
      <c r="T231" s="347"/>
      <c r="U231" s="347"/>
      <c r="V231" s="347"/>
      <c r="W231" s="346"/>
      <c r="X231" s="347"/>
      <c r="Y231" s="347"/>
      <c r="Z231" s="347"/>
      <c r="AA231" s="347"/>
      <c r="AB231" s="346"/>
      <c r="AC231" s="347"/>
      <c r="AD231" s="347"/>
      <c r="AE231" s="347"/>
      <c r="AF231" s="347"/>
      <c r="AG231" s="346"/>
      <c r="AH231" s="347"/>
      <c r="AI231" s="347"/>
      <c r="AJ231" s="347"/>
      <c r="AK231" s="347"/>
      <c r="AL231" s="346"/>
      <c r="AM231" s="347"/>
      <c r="AN231" s="347"/>
      <c r="AO231" s="347"/>
      <c r="AP231" s="347"/>
      <c r="AQ231" s="346"/>
      <c r="AR231" s="347"/>
      <c r="AS231" s="347"/>
      <c r="AT231" s="347"/>
      <c r="AU231" s="347"/>
      <c r="AV231" s="346"/>
      <c r="AW231" s="347"/>
      <c r="AX231" s="347"/>
      <c r="AY231" s="347"/>
      <c r="AZ231" s="347"/>
      <c r="BA231" s="346"/>
      <c r="BB231" s="347"/>
      <c r="BC231" s="347"/>
      <c r="BD231" s="347"/>
      <c r="BE231" s="347"/>
      <c r="BF231" s="346"/>
      <c r="BG231" s="347"/>
      <c r="BH231" s="347"/>
      <c r="BI231" s="347"/>
      <c r="BJ231" s="347"/>
      <c r="BK231" s="346"/>
      <c r="BL231" s="347"/>
      <c r="BM231" s="347"/>
      <c r="BN231" s="347"/>
      <c r="BO231" s="347"/>
      <c r="BP231" s="346"/>
      <c r="BQ231" s="347"/>
      <c r="BR231" s="347"/>
      <c r="BS231" s="347"/>
      <c r="BT231" s="347"/>
      <c r="BU231" s="346"/>
      <c r="BV231" s="347"/>
      <c r="BW231" s="347"/>
      <c r="BX231" s="347"/>
      <c r="BY231" s="347"/>
      <c r="BZ231" s="346"/>
      <c r="CA231" s="125"/>
      <c r="CB231" s="125"/>
      <c r="CC231" s="125"/>
      <c r="CD231" s="125"/>
      <c r="CE231" s="124">
        <v>297.69</v>
      </c>
      <c r="CF231" s="125"/>
      <c r="CG231" s="125"/>
      <c r="CH231" s="125"/>
      <c r="CI231" s="125"/>
      <c r="CJ231" s="124">
        <v>520.372</v>
      </c>
      <c r="CK231" s="125">
        <v>139.427</v>
      </c>
      <c r="CL231" s="125">
        <v>172.02</v>
      </c>
      <c r="CM231" s="172">
        <v>174.152</v>
      </c>
      <c r="CN231" s="125">
        <f>CO231-CK231-CL231-CM231</f>
        <v>196.034</v>
      </c>
      <c r="CO231" s="124">
        <v>681.633</v>
      </c>
      <c r="CP231" s="128">
        <v>249.685</v>
      </c>
      <c r="CQ231" s="128">
        <v>277.5</v>
      </c>
      <c r="CR231" s="128">
        <v>266.891</v>
      </c>
      <c r="CS231" s="348">
        <f>CT231-SUM(CP231:CR231)</f>
        <v>340.217</v>
      </c>
      <c r="CT231" s="127">
        <v>1134.293</v>
      </c>
      <c r="CU231" s="126">
        <v>346.05</v>
      </c>
      <c r="CV231" s="126">
        <v>356.224</v>
      </c>
      <c r="CW231" s="126">
        <v>359.388</v>
      </c>
      <c r="CX231" s="126">
        <f>CY231-CU231-CV231-CW231</f>
        <v>479.767</v>
      </c>
      <c r="CY231" s="127">
        <v>1541.429</v>
      </c>
      <c r="CZ231" s="126">
        <v>412.205</v>
      </c>
      <c r="DA231" s="126">
        <v>440.532</v>
      </c>
      <c r="DB231" s="126">
        <v>511.825</v>
      </c>
      <c r="DC231" s="128">
        <f>DD231-CZ231-DA231-DB231</f>
        <v>589.316</v>
      </c>
      <c r="DD231" s="127">
        <v>1953.878</v>
      </c>
      <c r="DE231" s="128">
        <v>529.803</v>
      </c>
      <c r="DF231" s="126">
        <f>DA231*(1+DF232)</f>
        <v>515.42244</v>
      </c>
      <c r="DG231" s="126">
        <f>DB231*(1+DG232)</f>
        <v>603.9535</v>
      </c>
      <c r="DH231" s="126">
        <f>DC231*(1+DH232)</f>
        <v>683.60656</v>
      </c>
      <c r="DI231" s="127">
        <f>DE231+DF231+DG231+DH231</f>
        <v>2332.7855</v>
      </c>
      <c r="DJ231" s="126">
        <f>DE231*(1+DJ232)</f>
        <v>598.67739</v>
      </c>
      <c r="DK231" s="126">
        <f>DF231*(1+DK232)</f>
        <v>572.1189084</v>
      </c>
      <c r="DL231" s="126">
        <f>DG231*(1+DL232)</f>
        <v>664.34885</v>
      </c>
      <c r="DM231" s="126">
        <f>DH231*(1+DM232)</f>
        <v>751.967216</v>
      </c>
      <c r="DN231" s="127">
        <f>DJ231+DK231+DL231+DM231</f>
        <v>2587.1123644</v>
      </c>
      <c r="DO231" s="126">
        <f>DJ231*(1+DO232)</f>
        <v>658.545129</v>
      </c>
      <c r="DP231" s="126">
        <f>DK231*(1+DP232)</f>
        <v>629.33079924</v>
      </c>
      <c r="DQ231" s="126">
        <f>DL231*(1+DQ232)</f>
        <v>730.783735</v>
      </c>
      <c r="DR231" s="126">
        <f>DM231*(1+DR232)</f>
        <v>827.1639376</v>
      </c>
      <c r="DS231" s="127">
        <f>DO231+DP231+DQ231+DR231</f>
        <v>2845.82360084</v>
      </c>
    </row>
    <row r="232" hidden="1" outlineLevel="1" spans="2:123">
      <c r="B232" s="144" t="s">
        <v>69</v>
      </c>
      <c r="C232" s="138"/>
      <c r="D232" s="139"/>
      <c r="E232" s="139"/>
      <c r="F232" s="139"/>
      <c r="G232" s="139"/>
      <c r="H232" s="140"/>
      <c r="I232" s="141"/>
      <c r="J232" s="141"/>
      <c r="K232" s="141"/>
      <c r="L232" s="141"/>
      <c r="M232" s="140"/>
      <c r="N232" s="141"/>
      <c r="O232" s="141"/>
      <c r="P232" s="141"/>
      <c r="Q232" s="141"/>
      <c r="R232" s="140"/>
      <c r="S232" s="141"/>
      <c r="T232" s="141"/>
      <c r="U232" s="141"/>
      <c r="V232" s="141"/>
      <c r="W232" s="140"/>
      <c r="X232" s="141"/>
      <c r="Y232" s="141"/>
      <c r="Z232" s="141"/>
      <c r="AA232" s="141"/>
      <c r="AB232" s="140"/>
      <c r="AC232" s="141"/>
      <c r="AD232" s="141"/>
      <c r="AE232" s="141"/>
      <c r="AF232" s="141"/>
      <c r="AG232" s="140"/>
      <c r="AH232" s="141"/>
      <c r="AI232" s="141"/>
      <c r="AJ232" s="141"/>
      <c r="AK232" s="141"/>
      <c r="AL232" s="140"/>
      <c r="AM232" s="141"/>
      <c r="AN232" s="141"/>
      <c r="AO232" s="141"/>
      <c r="AP232" s="141"/>
      <c r="AQ232" s="140"/>
      <c r="AR232" s="141"/>
      <c r="AS232" s="141"/>
      <c r="AT232" s="141"/>
      <c r="AU232" s="141"/>
      <c r="AV232" s="140"/>
      <c r="AW232" s="141"/>
      <c r="AX232" s="141"/>
      <c r="AY232" s="141"/>
      <c r="AZ232" s="141"/>
      <c r="BA232" s="140"/>
      <c r="BB232" s="141"/>
      <c r="BC232" s="141"/>
      <c r="BD232" s="141"/>
      <c r="BE232" s="141"/>
      <c r="BF232" s="140"/>
      <c r="BG232" s="141"/>
      <c r="BH232" s="141"/>
      <c r="BI232" s="141"/>
      <c r="BJ232" s="141"/>
      <c r="BK232" s="140"/>
      <c r="BL232" s="141"/>
      <c r="BM232" s="141"/>
      <c r="BN232" s="141"/>
      <c r="BO232" s="141"/>
      <c r="BP232" s="140"/>
      <c r="BQ232" s="141"/>
      <c r="BR232" s="141"/>
      <c r="BS232" s="141"/>
      <c r="BT232" s="141"/>
      <c r="BU232" s="140"/>
      <c r="BV232" s="141"/>
      <c r="BW232" s="141"/>
      <c r="BX232" s="141"/>
      <c r="BY232" s="141"/>
      <c r="BZ232" s="140"/>
      <c r="CA232" s="141"/>
      <c r="CB232" s="141"/>
      <c r="CC232" s="141"/>
      <c r="CD232" s="141"/>
      <c r="CE232" s="759" t="s">
        <v>208</v>
      </c>
      <c r="CF232" s="141"/>
      <c r="CG232" s="141"/>
      <c r="CH232" s="141"/>
      <c r="CI232" s="141"/>
      <c r="CJ232" s="140">
        <f>CJ231/CE231-1</f>
        <v>0.748033188887769</v>
      </c>
      <c r="CK232" s="774" t="s">
        <v>208</v>
      </c>
      <c r="CL232" s="774" t="s">
        <v>208</v>
      </c>
      <c r="CM232" s="774" t="s">
        <v>208</v>
      </c>
      <c r="CN232" s="774" t="s">
        <v>208</v>
      </c>
      <c r="CO232" s="140">
        <f t="shared" ref="CO232:CW232" si="1201">CO231/CJ231-1</f>
        <v>0.309895613138294</v>
      </c>
      <c r="CP232" s="142">
        <f t="shared" si="1201"/>
        <v>0.790793748700037</v>
      </c>
      <c r="CQ232" s="141">
        <f t="shared" si="1201"/>
        <v>0.613184513428671</v>
      </c>
      <c r="CR232" s="141">
        <f t="shared" si="1201"/>
        <v>0.532517570857642</v>
      </c>
      <c r="CS232" s="141">
        <f t="shared" si="1201"/>
        <v>0.735499964291908</v>
      </c>
      <c r="CT232" s="140">
        <f t="shared" si="1201"/>
        <v>0.664081697922489</v>
      </c>
      <c r="CU232" s="142">
        <f t="shared" si="1201"/>
        <v>0.385946292328334</v>
      </c>
      <c r="CV232" s="141">
        <f t="shared" si="1201"/>
        <v>0.28369009009009</v>
      </c>
      <c r="CW232" s="141">
        <f t="shared" si="1201"/>
        <v>0.346572196139997</v>
      </c>
      <c r="CX232" s="141">
        <f t="shared" ref="CX232" si="1202">CX231/CS231-1</f>
        <v>0.410179385509837</v>
      </c>
      <c r="CY232" s="140">
        <f t="shared" ref="CY232:DE232" si="1203">CY231/CT231-1</f>
        <v>0.3589337146575</v>
      </c>
      <c r="CZ232" s="142">
        <f t="shared" si="1203"/>
        <v>0.191171795983239</v>
      </c>
      <c r="DA232" s="141">
        <f t="shared" si="1203"/>
        <v>0.236671307941071</v>
      </c>
      <c r="DB232" s="141">
        <f t="shared" si="1203"/>
        <v>0.424157178314245</v>
      </c>
      <c r="DC232" s="142">
        <f t="shared" si="1203"/>
        <v>0.228337922366482</v>
      </c>
      <c r="DD232" s="140">
        <f t="shared" si="1203"/>
        <v>0.267575736540574</v>
      </c>
      <c r="DE232" s="142">
        <f t="shared" si="1203"/>
        <v>0.285290086243495</v>
      </c>
      <c r="DF232" s="213">
        <v>0.17</v>
      </c>
      <c r="DG232" s="213">
        <v>0.18</v>
      </c>
      <c r="DH232" s="213">
        <v>0.16</v>
      </c>
      <c r="DI232" s="140">
        <f>DI231/DD231-1</f>
        <v>0.193925874594012</v>
      </c>
      <c r="DJ232" s="213">
        <v>0.13</v>
      </c>
      <c r="DK232" s="213">
        <v>0.11</v>
      </c>
      <c r="DL232" s="213">
        <v>0.1</v>
      </c>
      <c r="DM232" s="213">
        <v>0.1</v>
      </c>
      <c r="DN232" s="140">
        <f>DN231/DI231-1</f>
        <v>0.109022824601748</v>
      </c>
      <c r="DO232" s="213">
        <v>0.1</v>
      </c>
      <c r="DP232" s="213">
        <v>0.1</v>
      </c>
      <c r="DQ232" s="213">
        <v>0.1</v>
      </c>
      <c r="DR232" s="213">
        <v>0.1</v>
      </c>
      <c r="DS232" s="140">
        <f>DS231/DN231-1</f>
        <v>0.1</v>
      </c>
    </row>
    <row r="233" s="88" customFormat="1" hidden="1" outlineLevel="1" spans="2:123">
      <c r="B233" s="179" t="s">
        <v>389</v>
      </c>
      <c r="C233" s="344"/>
      <c r="D233" s="345"/>
      <c r="E233" s="345"/>
      <c r="F233" s="345"/>
      <c r="G233" s="345"/>
      <c r="H233" s="346"/>
      <c r="I233" s="347"/>
      <c r="J233" s="347"/>
      <c r="K233" s="347"/>
      <c r="L233" s="347"/>
      <c r="M233" s="346"/>
      <c r="N233" s="347"/>
      <c r="O233" s="347"/>
      <c r="P233" s="347"/>
      <c r="Q233" s="347"/>
      <c r="R233" s="346"/>
      <c r="S233" s="347"/>
      <c r="T233" s="347"/>
      <c r="U233" s="347"/>
      <c r="V233" s="347"/>
      <c r="W233" s="346"/>
      <c r="X233" s="347"/>
      <c r="Y233" s="347"/>
      <c r="Z233" s="347"/>
      <c r="AA233" s="347"/>
      <c r="AB233" s="346"/>
      <c r="AC233" s="347"/>
      <c r="AD233" s="347"/>
      <c r="AE233" s="347"/>
      <c r="AF233" s="347"/>
      <c r="AG233" s="346"/>
      <c r="AH233" s="347"/>
      <c r="AI233" s="347"/>
      <c r="AJ233" s="347"/>
      <c r="AK233" s="347"/>
      <c r="AL233" s="346"/>
      <c r="AM233" s="347"/>
      <c r="AN233" s="347"/>
      <c r="AO233" s="347"/>
      <c r="AP233" s="347"/>
      <c r="AQ233" s="346"/>
      <c r="AR233" s="347"/>
      <c r="AS233" s="347"/>
      <c r="AT233" s="347"/>
      <c r="AU233" s="347"/>
      <c r="AV233" s="346"/>
      <c r="AW233" s="347"/>
      <c r="AX233" s="347"/>
      <c r="AY233" s="347"/>
      <c r="AZ233" s="347"/>
      <c r="BA233" s="346"/>
      <c r="BB233" s="347"/>
      <c r="BC233" s="347"/>
      <c r="BD233" s="347"/>
      <c r="BE233" s="347"/>
      <c r="BF233" s="346"/>
      <c r="BG233" s="347"/>
      <c r="BH233" s="347"/>
      <c r="BI233" s="347"/>
      <c r="BJ233" s="347"/>
      <c r="BK233" s="346"/>
      <c r="BL233" s="347"/>
      <c r="BM233" s="347"/>
      <c r="BN233" s="347"/>
      <c r="BO233" s="347"/>
      <c r="BP233" s="346"/>
      <c r="BQ233" s="347"/>
      <c r="BR233" s="347"/>
      <c r="BS233" s="347"/>
      <c r="BT233" s="347"/>
      <c r="BU233" s="346"/>
      <c r="BV233" s="347"/>
      <c r="BW233" s="347"/>
      <c r="BX233" s="347"/>
      <c r="BY233" s="347"/>
      <c r="BZ233" s="346"/>
      <c r="CA233" s="125"/>
      <c r="CB233" s="125"/>
      <c r="CC233" s="125"/>
      <c r="CD233" s="125"/>
      <c r="CE233" s="759" t="s">
        <v>208</v>
      </c>
      <c r="CF233" s="125"/>
      <c r="CG233" s="125"/>
      <c r="CH233" s="125"/>
      <c r="CI233" s="125"/>
      <c r="CJ233" s="124">
        <v>86.111</v>
      </c>
      <c r="CK233" s="774" t="s">
        <v>208</v>
      </c>
      <c r="CL233" s="774" t="s">
        <v>208</v>
      </c>
      <c r="CM233" s="774" t="s">
        <v>208</v>
      </c>
      <c r="CN233" s="774" t="s">
        <v>208</v>
      </c>
      <c r="CO233" s="124">
        <v>105.13</v>
      </c>
      <c r="CP233" s="128">
        <v>39.617</v>
      </c>
      <c r="CQ233" s="128">
        <v>43.055</v>
      </c>
      <c r="CR233" s="128">
        <v>38.296</v>
      </c>
      <c r="CS233" s="348">
        <f>CT233-CP233-CQ233-CR233</f>
        <v>49.565</v>
      </c>
      <c r="CT233" s="127">
        <v>170.533</v>
      </c>
      <c r="CU233" s="126">
        <v>42.264</v>
      </c>
      <c r="CV233" s="126">
        <v>42.035</v>
      </c>
      <c r="CW233" s="126">
        <v>41.05</v>
      </c>
      <c r="CX233" s="126">
        <f>CY233-CU233-CV233-CW233</f>
        <v>54.743</v>
      </c>
      <c r="CY233" s="127">
        <v>180.092</v>
      </c>
      <c r="CZ233" s="126">
        <v>44.104</v>
      </c>
      <c r="DA233" s="126">
        <v>47.634</v>
      </c>
      <c r="DB233" s="126">
        <v>46.463</v>
      </c>
      <c r="DC233" s="126">
        <f>DD233-CZ233-DA233-DB233</f>
        <v>60.878</v>
      </c>
      <c r="DD233" s="127">
        <v>199.079</v>
      </c>
      <c r="DE233" s="128">
        <v>51.408</v>
      </c>
      <c r="DF233" s="126">
        <f>DF231-DF236</f>
        <v>108.32744</v>
      </c>
      <c r="DG233" s="126">
        <f>DG231-DG236</f>
        <v>124.996317581583</v>
      </c>
      <c r="DH233" s="126">
        <f t="shared" ref="DH233" si="1204">DH231-DH236</f>
        <v>146.387608462276</v>
      </c>
      <c r="DI233" s="127">
        <f>DE233+DF233+DG233+DH233</f>
        <v>431.119366043859</v>
      </c>
      <c r="DJ233" s="126">
        <f t="shared" ref="DJ233:DM233" si="1205">DJ231-DJ236</f>
        <v>100.082528587826</v>
      </c>
      <c r="DK233" s="126">
        <f t="shared" si="1205"/>
        <v>143.787387110447</v>
      </c>
      <c r="DL233" s="126">
        <f t="shared" si="1205"/>
        <v>150.353588631143</v>
      </c>
      <c r="DM233" s="126">
        <f t="shared" si="1205"/>
        <v>178.827191864862</v>
      </c>
      <c r="DN233" s="127">
        <f>DJ233+DK233+DL233+DM233</f>
        <v>573.050696194278</v>
      </c>
      <c r="DO233" s="126">
        <f t="shared" ref="DO233:DR233" si="1206">DO231-DO236</f>
        <v>116.747483290265</v>
      </c>
      <c r="DP233" s="126">
        <f t="shared" si="1206"/>
        <v>164.144919972825</v>
      </c>
      <c r="DQ233" s="126">
        <f t="shared" si="1206"/>
        <v>173.046427918732</v>
      </c>
      <c r="DR233" s="126">
        <f t="shared" si="1206"/>
        <v>206.016343126414</v>
      </c>
      <c r="DS233" s="127">
        <f>DO233+DP233+DQ233+DR233</f>
        <v>659.955174308235</v>
      </c>
    </row>
    <row r="234" hidden="1" outlineLevel="1" spans="2:123">
      <c r="B234" s="144" t="s">
        <v>69</v>
      </c>
      <c r="C234" s="119"/>
      <c r="D234" s="120"/>
      <c r="E234" s="120"/>
      <c r="F234" s="120"/>
      <c r="G234" s="120"/>
      <c r="H234" s="140"/>
      <c r="I234" s="141"/>
      <c r="J234" s="141"/>
      <c r="K234" s="141"/>
      <c r="L234" s="141"/>
      <c r="M234" s="140"/>
      <c r="N234" s="141"/>
      <c r="O234" s="141"/>
      <c r="P234" s="141"/>
      <c r="Q234" s="141"/>
      <c r="R234" s="140"/>
      <c r="S234" s="141"/>
      <c r="T234" s="141"/>
      <c r="U234" s="141"/>
      <c r="V234" s="141"/>
      <c r="W234" s="140"/>
      <c r="X234" s="141"/>
      <c r="Y234" s="141"/>
      <c r="Z234" s="141"/>
      <c r="AA234" s="141"/>
      <c r="AB234" s="140"/>
      <c r="AC234" s="141"/>
      <c r="AD234" s="141"/>
      <c r="AE234" s="141"/>
      <c r="AF234" s="141"/>
      <c r="AG234" s="140"/>
      <c r="AH234" s="141"/>
      <c r="AI234" s="141"/>
      <c r="AJ234" s="141"/>
      <c r="AK234" s="141"/>
      <c r="AL234" s="140"/>
      <c r="AM234" s="141"/>
      <c r="AN234" s="141"/>
      <c r="AO234" s="141"/>
      <c r="AP234" s="141"/>
      <c r="AQ234" s="140"/>
      <c r="AR234" s="141"/>
      <c r="AS234" s="141"/>
      <c r="AT234" s="141"/>
      <c r="AU234" s="141"/>
      <c r="AV234" s="140"/>
      <c r="AW234" s="141"/>
      <c r="AX234" s="141"/>
      <c r="AY234" s="141"/>
      <c r="AZ234" s="141"/>
      <c r="BA234" s="140"/>
      <c r="BB234" s="141"/>
      <c r="BC234" s="141"/>
      <c r="BD234" s="141"/>
      <c r="BE234" s="141"/>
      <c r="BF234" s="140"/>
      <c r="BG234" s="292"/>
      <c r="BH234" s="292"/>
      <c r="BI234" s="292"/>
      <c r="BJ234" s="292"/>
      <c r="BK234" s="140"/>
      <c r="BL234" s="292"/>
      <c r="BM234" s="292"/>
      <c r="BN234" s="292"/>
      <c r="BO234" s="182"/>
      <c r="BP234" s="140"/>
      <c r="BQ234" s="291"/>
      <c r="BR234" s="291"/>
      <c r="BS234" s="291"/>
      <c r="BT234" s="291"/>
      <c r="BU234" s="140"/>
      <c r="BV234" s="291"/>
      <c r="BW234" s="291"/>
      <c r="BX234" s="291"/>
      <c r="BY234" s="291"/>
      <c r="BZ234" s="140"/>
      <c r="CA234" s="141"/>
      <c r="CB234" s="141"/>
      <c r="CC234" s="141"/>
      <c r="CD234" s="141"/>
      <c r="CE234" s="759" t="s">
        <v>208</v>
      </c>
      <c r="CF234" s="189"/>
      <c r="CG234" s="189"/>
      <c r="CH234" s="189"/>
      <c r="CI234" s="189"/>
      <c r="CJ234" s="759" t="s">
        <v>208</v>
      </c>
      <c r="CK234" s="774" t="s">
        <v>208</v>
      </c>
      <c r="CL234" s="774" t="s">
        <v>208</v>
      </c>
      <c r="CM234" s="774" t="s">
        <v>208</v>
      </c>
      <c r="CN234" s="774" t="s">
        <v>208</v>
      </c>
      <c r="CO234" s="143">
        <f t="shared" ref="CO234" si="1207">CO233/CJ233-1</f>
        <v>0.220866091440118</v>
      </c>
      <c r="CP234" s="772" t="s">
        <v>208</v>
      </c>
      <c r="CQ234" s="772" t="s">
        <v>208</v>
      </c>
      <c r="CR234" s="772" t="s">
        <v>208</v>
      </c>
      <c r="CS234" s="772" t="s">
        <v>208</v>
      </c>
      <c r="CT234" s="143">
        <f t="shared" ref="CT234" si="1208">CT233/CO233-1</f>
        <v>0.622115476077238</v>
      </c>
      <c r="CU234" s="142">
        <f t="shared" ref="CU234" si="1209">CU233/CP233-1</f>
        <v>0.0668147512431534</v>
      </c>
      <c r="CV234" s="142">
        <f t="shared" ref="CV234:CX234" si="1210">CV233/CQ233-1</f>
        <v>-0.0236906282661713</v>
      </c>
      <c r="CW234" s="142">
        <f t="shared" si="1210"/>
        <v>0.0719135157718822</v>
      </c>
      <c r="CX234" s="142">
        <f t="shared" si="1210"/>
        <v>0.104468879249471</v>
      </c>
      <c r="CY234" s="143">
        <f t="shared" ref="CY234" si="1211">CY233/CT233-1</f>
        <v>0.0560536670321874</v>
      </c>
      <c r="CZ234" s="142">
        <f t="shared" ref="CZ234" si="1212">CZ233/CU233-1</f>
        <v>0.0435358697709634</v>
      </c>
      <c r="DA234" s="142">
        <f t="shared" ref="DA234:DC234" si="1213">DA233/CV233-1</f>
        <v>0.133198525038658</v>
      </c>
      <c r="DB234" s="142">
        <f t="shared" si="1213"/>
        <v>0.131863580998782</v>
      </c>
      <c r="DC234" s="142">
        <f t="shared" si="1213"/>
        <v>0.112069122992894</v>
      </c>
      <c r="DD234" s="143">
        <f t="shared" ref="DD234:DE234" si="1214">DD233/CY233-1</f>
        <v>0.105429447171446</v>
      </c>
      <c r="DE234" s="142">
        <f t="shared" si="1214"/>
        <v>0.165608561581716</v>
      </c>
      <c r="DF234" s="142">
        <f t="shared" ref="DF234" si="1215">DF233/DA233-1</f>
        <v>1.27416215308393</v>
      </c>
      <c r="DG234" s="142">
        <f t="shared" ref="DG234" si="1216">DG233/DB233-1</f>
        <v>1.69023346709389</v>
      </c>
      <c r="DH234" s="142">
        <f t="shared" ref="DH234" si="1217">DH233/DC233-1</f>
        <v>1.40460607218167</v>
      </c>
      <c r="DI234" s="143">
        <f t="shared" ref="DI234" si="1218">DI233/DD233-1</f>
        <v>1.16556927673868</v>
      </c>
      <c r="DJ234" s="142">
        <f t="shared" ref="DJ234" si="1219">DJ233/DE233-1</f>
        <v>0.946827898144766</v>
      </c>
      <c r="DK234" s="142">
        <f t="shared" ref="DK234" si="1220">DK233/DF233-1</f>
        <v>0.327340396029361</v>
      </c>
      <c r="DL234" s="142">
        <f t="shared" ref="DL234" si="1221">DL233/DG233-1</f>
        <v>0.202864144641776</v>
      </c>
      <c r="DM234" s="142">
        <f t="shared" ref="DM234" si="1222">DM233/DH233-1</f>
        <v>0.22160061048436</v>
      </c>
      <c r="DN234" s="143">
        <f t="shared" ref="DN234" si="1223">DN233/DI233-1</f>
        <v>0.329215853727107</v>
      </c>
      <c r="DO234" s="142">
        <f t="shared" ref="DO234" si="1224">DO233/DJ233-1</f>
        <v>0.166512126917481</v>
      </c>
      <c r="DP234" s="142">
        <f t="shared" ref="DP234" si="1225">DP233/DK233-1</f>
        <v>0.141580796977282</v>
      </c>
      <c r="DQ234" s="142">
        <f t="shared" ref="DQ234" si="1226">DQ233/DL233-1</f>
        <v>0.150929814806487</v>
      </c>
      <c r="DR234" s="142">
        <f t="shared" ref="DR234" si="1227">DR233/DM233-1</f>
        <v>0.152041481935803</v>
      </c>
      <c r="DS234" s="143">
        <f t="shared" ref="DS234" si="1228">DS233/DN233-1</f>
        <v>0.151652338425037</v>
      </c>
    </row>
    <row r="235" s="3" customFormat="1" hidden="1" outlineLevel="1" spans="2:123">
      <c r="B235" s="130"/>
      <c r="C235" s="284"/>
      <c r="D235" s="189"/>
      <c r="E235" s="189"/>
      <c r="F235" s="189"/>
      <c r="G235" s="189"/>
      <c r="H235" s="188"/>
      <c r="I235" s="189"/>
      <c r="J235" s="189"/>
      <c r="K235" s="189"/>
      <c r="L235" s="189"/>
      <c r="M235" s="188"/>
      <c r="N235" s="189"/>
      <c r="O235" s="189"/>
      <c r="P235" s="189"/>
      <c r="Q235" s="189"/>
      <c r="R235" s="188"/>
      <c r="S235" s="189"/>
      <c r="T235" s="189"/>
      <c r="U235" s="189"/>
      <c r="V235" s="189"/>
      <c r="W235" s="188"/>
      <c r="X235" s="189"/>
      <c r="Y235" s="189"/>
      <c r="Z235" s="195"/>
      <c r="AA235" s="195"/>
      <c r="AB235" s="188"/>
      <c r="AC235" s="195"/>
      <c r="AD235" s="195"/>
      <c r="AE235" s="195"/>
      <c r="AF235" s="195"/>
      <c r="AG235" s="194"/>
      <c r="AH235" s="195"/>
      <c r="AI235" s="195"/>
      <c r="AJ235" s="195"/>
      <c r="AK235" s="195"/>
      <c r="AL235" s="194"/>
      <c r="AM235" s="195"/>
      <c r="AN235" s="195"/>
      <c r="AO235" s="195"/>
      <c r="AP235" s="195"/>
      <c r="AQ235" s="194"/>
      <c r="AR235" s="195"/>
      <c r="AS235" s="195"/>
      <c r="AT235" s="195"/>
      <c r="AU235" s="195"/>
      <c r="AV235" s="194"/>
      <c r="AW235" s="195"/>
      <c r="AX235" s="195"/>
      <c r="AY235" s="195"/>
      <c r="AZ235" s="195"/>
      <c r="BA235" s="194"/>
      <c r="BB235" s="195"/>
      <c r="BC235" s="195"/>
      <c r="BD235" s="195"/>
      <c r="BE235" s="195"/>
      <c r="BF235" s="194"/>
      <c r="BG235" s="195"/>
      <c r="BH235" s="195"/>
      <c r="BI235" s="195"/>
      <c r="BJ235" s="195"/>
      <c r="BK235" s="194"/>
      <c r="BL235" s="195"/>
      <c r="BM235" s="195"/>
      <c r="BN235" s="195"/>
      <c r="BO235" s="195"/>
      <c r="BP235" s="194"/>
      <c r="BQ235" s="195"/>
      <c r="BR235" s="195"/>
      <c r="BS235" s="195"/>
      <c r="BT235" s="120"/>
      <c r="BU235" s="119"/>
      <c r="BV235" s="120"/>
      <c r="BW235" s="120"/>
      <c r="BX235" s="120"/>
      <c r="BY235" s="189"/>
      <c r="BZ235" s="188"/>
      <c r="CA235" s="189"/>
      <c r="CB235" s="189"/>
      <c r="CC235" s="189"/>
      <c r="CD235" s="189"/>
      <c r="CE235" s="188"/>
      <c r="CF235" s="189"/>
      <c r="CG235" s="189"/>
      <c r="CH235" s="189"/>
      <c r="CI235" s="189"/>
      <c r="CJ235" s="188"/>
      <c r="CK235" s="189"/>
      <c r="CL235" s="189"/>
      <c r="CM235" s="189"/>
      <c r="CN235" s="189"/>
      <c r="CO235" s="188"/>
      <c r="CP235" s="189"/>
      <c r="CQ235" s="189"/>
      <c r="CR235" s="189"/>
      <c r="CS235" s="189"/>
      <c r="CT235" s="188"/>
      <c r="CU235" s="189"/>
      <c r="CV235" s="189"/>
      <c r="CW235" s="189"/>
      <c r="CX235" s="335"/>
      <c r="CY235" s="188"/>
      <c r="CZ235" s="335"/>
      <c r="DA235" s="335"/>
      <c r="DB235" s="335"/>
      <c r="DC235" s="335"/>
      <c r="DD235" s="188"/>
      <c r="DE235" s="308"/>
      <c r="DF235" s="189"/>
      <c r="DG235" s="189"/>
      <c r="DH235" s="189"/>
      <c r="DI235" s="188"/>
      <c r="DJ235" s="189"/>
      <c r="DK235" s="189"/>
      <c r="DL235" s="189"/>
      <c r="DM235" s="189"/>
      <c r="DN235" s="188"/>
      <c r="DO235" s="189"/>
      <c r="DP235" s="189"/>
      <c r="DQ235" s="189"/>
      <c r="DR235" s="189"/>
      <c r="DS235" s="188"/>
    </row>
    <row r="236" s="89" customFormat="1" collapsed="1" spans="2:123">
      <c r="B236" s="175" t="s">
        <v>390</v>
      </c>
      <c r="C236" s="337"/>
      <c r="D236" s="132"/>
      <c r="E236" s="132"/>
      <c r="F236" s="132"/>
      <c r="G236" s="132"/>
      <c r="H236" s="131"/>
      <c r="I236" s="132"/>
      <c r="J236" s="132"/>
      <c r="K236" s="132"/>
      <c r="L236" s="132"/>
      <c r="M236" s="131"/>
      <c r="N236" s="132"/>
      <c r="O236" s="132"/>
      <c r="P236" s="132"/>
      <c r="Q236" s="132"/>
      <c r="R236" s="131"/>
      <c r="S236" s="132"/>
      <c r="T236" s="132"/>
      <c r="U236" s="132"/>
      <c r="V236" s="132"/>
      <c r="W236" s="131"/>
      <c r="X236" s="132"/>
      <c r="Y236" s="132"/>
      <c r="Z236" s="132"/>
      <c r="AA236" s="132"/>
      <c r="AB236" s="131"/>
      <c r="AC236" s="132"/>
      <c r="AD236" s="132"/>
      <c r="AE236" s="132"/>
      <c r="AF236" s="132"/>
      <c r="AG236" s="131"/>
      <c r="AH236" s="132"/>
      <c r="AI236" s="132"/>
      <c r="AJ236" s="132"/>
      <c r="AK236" s="132"/>
      <c r="AL236" s="131"/>
      <c r="AM236" s="132"/>
      <c r="AN236" s="132"/>
      <c r="AO236" s="132"/>
      <c r="AP236" s="132"/>
      <c r="AQ236" s="131"/>
      <c r="AR236" s="132"/>
      <c r="AS236" s="132"/>
      <c r="AT236" s="132"/>
      <c r="AU236" s="132"/>
      <c r="AV236" s="131"/>
      <c r="AW236" s="132"/>
      <c r="AX236" s="132"/>
      <c r="AY236" s="132"/>
      <c r="AZ236" s="132"/>
      <c r="BA236" s="131"/>
      <c r="BB236" s="132"/>
      <c r="BC236" s="132"/>
      <c r="BD236" s="132"/>
      <c r="BE236" s="132"/>
      <c r="BF236" s="131"/>
      <c r="BG236" s="132"/>
      <c r="BH236" s="132"/>
      <c r="BI236" s="132"/>
      <c r="BJ236" s="132"/>
      <c r="BK236" s="131"/>
      <c r="BL236" s="132"/>
      <c r="BM236" s="132"/>
      <c r="BN236" s="132"/>
      <c r="BO236" s="132"/>
      <c r="BP236" s="131"/>
      <c r="BQ236" s="132"/>
      <c r="BR236" s="132"/>
      <c r="BS236" s="132"/>
      <c r="BT236" s="125"/>
      <c r="BU236" s="124"/>
      <c r="BV236" s="125"/>
      <c r="BW236" s="125"/>
      <c r="BX236" s="125"/>
      <c r="BY236" s="132"/>
      <c r="BZ236" s="131"/>
      <c r="CA236" s="132"/>
      <c r="CB236" s="132"/>
      <c r="CC236" s="132"/>
      <c r="CD236" s="132"/>
      <c r="CE236" s="131">
        <f>CJ236/(1+0.803)</f>
        <v>240.854686633389</v>
      </c>
      <c r="CF236" s="774" t="s">
        <v>208</v>
      </c>
      <c r="CG236" s="774" t="s">
        <v>208</v>
      </c>
      <c r="CH236" s="774" t="s">
        <v>208</v>
      </c>
      <c r="CI236" s="774" t="s">
        <v>208</v>
      </c>
      <c r="CJ236" s="131">
        <v>434.261</v>
      </c>
      <c r="CK236" s="774" t="s">
        <v>208</v>
      </c>
      <c r="CL236" s="774" t="s">
        <v>208</v>
      </c>
      <c r="CM236" s="774" t="s">
        <v>208</v>
      </c>
      <c r="CN236" s="774" t="s">
        <v>208</v>
      </c>
      <c r="CO236" s="131">
        <v>576.503</v>
      </c>
      <c r="CP236" s="133">
        <v>210.068</v>
      </c>
      <c r="CQ236" s="133">
        <v>234.445</v>
      </c>
      <c r="CR236" s="133">
        <v>228.595</v>
      </c>
      <c r="CS236" s="133">
        <f>CT236-CP236-CQ236-CR236</f>
        <v>290.652</v>
      </c>
      <c r="CT236" s="134">
        <v>963.76</v>
      </c>
      <c r="CU236" s="133">
        <v>303.786</v>
      </c>
      <c r="CV236" s="133">
        <v>314.189</v>
      </c>
      <c r="CW236" s="133">
        <v>318.338</v>
      </c>
      <c r="CX236" s="133">
        <f>CY236-CU236-CV236-CW236</f>
        <v>425.024</v>
      </c>
      <c r="CY236" s="134">
        <v>1361.337</v>
      </c>
      <c r="CZ236" s="133">
        <v>368.101</v>
      </c>
      <c r="DA236" s="133">
        <v>392.898</v>
      </c>
      <c r="DB236" s="133">
        <v>465.362</v>
      </c>
      <c r="DC236" s="133">
        <f>DD236-CZ236-DA236-DB236</f>
        <v>528.438</v>
      </c>
      <c r="DD236" s="134">
        <v>1754.799</v>
      </c>
      <c r="DE236" s="135">
        <v>478.395</v>
      </c>
      <c r="DF236" s="133">
        <v>407.095</v>
      </c>
      <c r="DG236" s="133">
        <f>DB236*(1+DG242)*(1+DG245)*(1+DG250*DG244)*(1+DG239)</f>
        <v>478.957182418417</v>
      </c>
      <c r="DH236" s="133">
        <f>DC236*(1+DH242)*(1+DH245)*(1+DH250*DH244)*(1+DH239)</f>
        <v>537.218951537724</v>
      </c>
      <c r="DI236" s="134">
        <f>DE236+DF236+DG236+DH236</f>
        <v>1901.66613395614</v>
      </c>
      <c r="DJ236" s="133">
        <f>DE236*(1+DJ242)*(1+DJ245)*(1+DJ250*DJ244)*(1+DJ239)</f>
        <v>498.594861412174</v>
      </c>
      <c r="DK236" s="133">
        <f>DF236*(1+DK242)*(1+DK245)*(1+DK250*DK244)*(1+DK239)</f>
        <v>428.331521289553</v>
      </c>
      <c r="DL236" s="133">
        <f>DG236*(1+DL242)*(1+DL245)*(1+DL250*DL244)*(1+DL239)</f>
        <v>513.995261368857</v>
      </c>
      <c r="DM236" s="133">
        <f>DH236*(1+DM242)*(1+DM245)*(1+DM250*DM244)*(1+DM239)</f>
        <v>573.140024135138</v>
      </c>
      <c r="DN236" s="134">
        <f>DJ236+DK236+DL236+DM236</f>
        <v>2014.06166820572</v>
      </c>
      <c r="DO236" s="133">
        <f>DJ236*(1+DO242)*(1+DO245)*(1+DO250*DO244)*(1+DO239)</f>
        <v>541.797645709735</v>
      </c>
      <c r="DP236" s="133">
        <f>DK236*(1+DP242)*(1+DP245)*(1+DP250*DP244)*(1+DP239)</f>
        <v>465.185879267175</v>
      </c>
      <c r="DQ236" s="133">
        <f>DL236*(1+DQ242)*(1+DQ245)*(1+DQ250*DQ244)*(1+DQ239)</f>
        <v>557.737307081268</v>
      </c>
      <c r="DR236" s="133">
        <f>DM236*(1+DR242)*(1+DR245)*(1+DR250*DR244)*(1+DR239)</f>
        <v>621.147594473587</v>
      </c>
      <c r="DS236" s="134">
        <f>DO236+DP236+DQ236+DR236</f>
        <v>2185.86842653177</v>
      </c>
    </row>
    <row r="237" s="3" customFormat="1" spans="2:123">
      <c r="B237" s="144" t="s">
        <v>370</v>
      </c>
      <c r="C237" s="284"/>
      <c r="D237" s="189"/>
      <c r="E237" s="189"/>
      <c r="F237" s="189"/>
      <c r="G237" s="189"/>
      <c r="H237" s="188"/>
      <c r="I237" s="189"/>
      <c r="J237" s="189"/>
      <c r="K237" s="189"/>
      <c r="L237" s="189"/>
      <c r="M237" s="188"/>
      <c r="N237" s="189"/>
      <c r="O237" s="189"/>
      <c r="P237" s="189"/>
      <c r="Q237" s="189"/>
      <c r="R237" s="188"/>
      <c r="S237" s="189"/>
      <c r="T237" s="189"/>
      <c r="U237" s="189"/>
      <c r="V237" s="189"/>
      <c r="W237" s="188"/>
      <c r="X237" s="189"/>
      <c r="Y237" s="189"/>
      <c r="Z237" s="195"/>
      <c r="AA237" s="195"/>
      <c r="AB237" s="188"/>
      <c r="AC237" s="195"/>
      <c r="AD237" s="195"/>
      <c r="AE237" s="195"/>
      <c r="AF237" s="195"/>
      <c r="AG237" s="194"/>
      <c r="AH237" s="195"/>
      <c r="AI237" s="195"/>
      <c r="AJ237" s="195"/>
      <c r="AK237" s="195"/>
      <c r="AL237" s="194"/>
      <c r="AM237" s="195"/>
      <c r="AN237" s="195"/>
      <c r="AO237" s="195"/>
      <c r="AP237" s="195"/>
      <c r="AQ237" s="194"/>
      <c r="AR237" s="195"/>
      <c r="AS237" s="195"/>
      <c r="AT237" s="195"/>
      <c r="AU237" s="195"/>
      <c r="AV237" s="194"/>
      <c r="AW237" s="195"/>
      <c r="AX237" s="195"/>
      <c r="AY237" s="195"/>
      <c r="AZ237" s="195"/>
      <c r="BA237" s="194"/>
      <c r="BB237" s="195"/>
      <c r="BC237" s="195"/>
      <c r="BD237" s="195"/>
      <c r="BE237" s="195"/>
      <c r="BF237" s="194"/>
      <c r="BG237" s="195"/>
      <c r="BH237" s="195"/>
      <c r="BI237" s="195"/>
      <c r="BJ237" s="195"/>
      <c r="BK237" s="194"/>
      <c r="BL237" s="195"/>
      <c r="BM237" s="195"/>
      <c r="BN237" s="195"/>
      <c r="BO237" s="195"/>
      <c r="BP237" s="194"/>
      <c r="BQ237" s="195"/>
      <c r="BR237" s="195"/>
      <c r="BS237" s="195"/>
      <c r="BT237" s="120"/>
      <c r="BU237" s="119"/>
      <c r="BV237" s="120"/>
      <c r="BW237" s="120"/>
      <c r="BX237" s="120"/>
      <c r="BY237" s="189"/>
      <c r="BZ237" s="188"/>
      <c r="CA237" s="189"/>
      <c r="CB237" s="189"/>
      <c r="CC237" s="189"/>
      <c r="CD237" s="189"/>
      <c r="CE237" s="759" t="s">
        <v>208</v>
      </c>
      <c r="CF237" s="775" t="s">
        <v>208</v>
      </c>
      <c r="CG237" s="775" t="s">
        <v>208</v>
      </c>
      <c r="CH237" s="775" t="s">
        <v>208</v>
      </c>
      <c r="CI237" s="775" t="s">
        <v>208</v>
      </c>
      <c r="CJ237" s="140">
        <f>CJ236/CE236-1</f>
        <v>0.803</v>
      </c>
      <c r="CK237" s="775" t="s">
        <v>208</v>
      </c>
      <c r="CL237" s="775" t="s">
        <v>208</v>
      </c>
      <c r="CM237" s="775" t="s">
        <v>208</v>
      </c>
      <c r="CN237" s="775" t="s">
        <v>208</v>
      </c>
      <c r="CO237" s="140">
        <f>CO236/CJ236-1</f>
        <v>0.327549561208582</v>
      </c>
      <c r="CP237" s="772" t="s">
        <v>208</v>
      </c>
      <c r="CQ237" s="772" t="s">
        <v>208</v>
      </c>
      <c r="CR237" s="772" t="s">
        <v>208</v>
      </c>
      <c r="CS237" s="772" t="s">
        <v>208</v>
      </c>
      <c r="CT237" s="140">
        <f t="shared" ref="CT237:DI237" si="1229">CT236/CO236-1</f>
        <v>0.671734579004793</v>
      </c>
      <c r="CU237" s="141">
        <f t="shared" si="1229"/>
        <v>0.44613172877354</v>
      </c>
      <c r="CV237" s="141">
        <f t="shared" si="1229"/>
        <v>0.340139478342468</v>
      </c>
      <c r="CW237" s="141">
        <f t="shared" si="1229"/>
        <v>0.392585139657473</v>
      </c>
      <c r="CX237" s="141">
        <f t="shared" si="1229"/>
        <v>0.462312318511484</v>
      </c>
      <c r="CY237" s="140">
        <f t="shared" si="1229"/>
        <v>0.412526977670789</v>
      </c>
      <c r="CZ237" s="141">
        <f t="shared" si="1229"/>
        <v>0.211711533777067</v>
      </c>
      <c r="DA237" s="141">
        <f t="shared" si="1229"/>
        <v>0.250514817514299</v>
      </c>
      <c r="DB237" s="141">
        <f t="shared" si="1229"/>
        <v>0.461848726824947</v>
      </c>
      <c r="DC237" s="141">
        <f t="shared" si="1229"/>
        <v>0.243313318777293</v>
      </c>
      <c r="DD237" s="140">
        <f t="shared" si="1229"/>
        <v>0.289026155904085</v>
      </c>
      <c r="DE237" s="142">
        <f t="shared" si="1229"/>
        <v>0.299629721190651</v>
      </c>
      <c r="DF237" s="141">
        <f t="shared" si="1229"/>
        <v>0.0361340602395532</v>
      </c>
      <c r="DG237" s="141">
        <f t="shared" si="1229"/>
        <v>0.0292142083333333</v>
      </c>
      <c r="DH237" s="141">
        <f t="shared" si="1229"/>
        <v>0.0166168056379823</v>
      </c>
      <c r="DI237" s="140">
        <f t="shared" si="1229"/>
        <v>0.0836945621442344</v>
      </c>
      <c r="DJ237" s="141">
        <f t="shared" ref="DJ237" si="1230">DJ236/DE236-1</f>
        <v>0.0422242318840578</v>
      </c>
      <c r="DK237" s="141">
        <f t="shared" ref="DK237" si="1231">DK236/DF236-1</f>
        <v>0.0521660086455329</v>
      </c>
      <c r="DL237" s="141">
        <f t="shared" ref="DL237" si="1232">DL236/DG236-1</f>
        <v>0.0731549295774649</v>
      </c>
      <c r="DM237" s="141">
        <f t="shared" ref="DM237" si="1233">DM236/DH236-1</f>
        <v>0.0668648648648649</v>
      </c>
      <c r="DN237" s="140">
        <f t="shared" ref="DN237" si="1234">DN236/DI236-1</f>
        <v>0.0591037155485117</v>
      </c>
      <c r="DO237" s="141">
        <f t="shared" ref="DO237" si="1235">DO236/DJ236-1</f>
        <v>0.0866490765171506</v>
      </c>
      <c r="DP237" s="141">
        <f t="shared" ref="DP237" si="1236">DP236/DK236-1</f>
        <v>0.0860416666666668</v>
      </c>
      <c r="DQ237" s="141">
        <f t="shared" ref="DQ237" si="1237">DQ236/DL236-1</f>
        <v>0.0851020408163263</v>
      </c>
      <c r="DR237" s="141">
        <f t="shared" ref="DR237" si="1238">DR236/DM236-1</f>
        <v>0.0837623762376241</v>
      </c>
      <c r="DS237" s="140">
        <f t="shared" ref="DS237" si="1239">DS236/DN236-1</f>
        <v>0.0853036235375559</v>
      </c>
    </row>
    <row r="238" s="3" customFormat="1" spans="2:123">
      <c r="B238" s="144" t="s">
        <v>371</v>
      </c>
      <c r="C238" s="284"/>
      <c r="D238" s="189"/>
      <c r="E238" s="189"/>
      <c r="F238" s="189"/>
      <c r="G238" s="189"/>
      <c r="H238" s="188"/>
      <c r="I238" s="189"/>
      <c r="J238" s="189"/>
      <c r="K238" s="189"/>
      <c r="L238" s="189"/>
      <c r="M238" s="188"/>
      <c r="N238" s="189"/>
      <c r="O238" s="189"/>
      <c r="P238" s="189"/>
      <c r="Q238" s="189"/>
      <c r="R238" s="188"/>
      <c r="S238" s="189"/>
      <c r="T238" s="189"/>
      <c r="U238" s="189"/>
      <c r="V238" s="189"/>
      <c r="W238" s="188"/>
      <c r="X238" s="189"/>
      <c r="Y238" s="189"/>
      <c r="Z238" s="195"/>
      <c r="AA238" s="195"/>
      <c r="AB238" s="188"/>
      <c r="AC238" s="195"/>
      <c r="AD238" s="195"/>
      <c r="AE238" s="195"/>
      <c r="AF238" s="195"/>
      <c r="AG238" s="194"/>
      <c r="AH238" s="195"/>
      <c r="AI238" s="195"/>
      <c r="AJ238" s="195"/>
      <c r="AK238" s="195"/>
      <c r="AL238" s="194"/>
      <c r="AM238" s="195"/>
      <c r="AN238" s="195"/>
      <c r="AO238" s="195"/>
      <c r="AP238" s="195"/>
      <c r="AQ238" s="194"/>
      <c r="AR238" s="195"/>
      <c r="AS238" s="195"/>
      <c r="AT238" s="195"/>
      <c r="AU238" s="195"/>
      <c r="AV238" s="194"/>
      <c r="AW238" s="195"/>
      <c r="AX238" s="195"/>
      <c r="AY238" s="195"/>
      <c r="AZ238" s="195"/>
      <c r="BA238" s="194"/>
      <c r="BB238" s="195"/>
      <c r="BC238" s="195"/>
      <c r="BD238" s="195"/>
      <c r="BE238" s="195"/>
      <c r="BF238" s="194"/>
      <c r="BG238" s="195"/>
      <c r="BH238" s="195"/>
      <c r="BI238" s="195"/>
      <c r="BJ238" s="195"/>
      <c r="BK238" s="194"/>
      <c r="BL238" s="195"/>
      <c r="BM238" s="195"/>
      <c r="BN238" s="195"/>
      <c r="BO238" s="195"/>
      <c r="BP238" s="194"/>
      <c r="BQ238" s="195"/>
      <c r="BR238" s="195"/>
      <c r="BS238" s="195"/>
      <c r="BT238" s="120"/>
      <c r="BU238" s="119"/>
      <c r="BV238" s="120"/>
      <c r="BW238" s="120"/>
      <c r="BX238" s="120"/>
      <c r="BY238" s="189"/>
      <c r="BZ238" s="188"/>
      <c r="CA238" s="189"/>
      <c r="CB238" s="189"/>
      <c r="CC238" s="189"/>
      <c r="CD238" s="189"/>
      <c r="CE238" s="759" t="s">
        <v>208</v>
      </c>
      <c r="CF238" s="775" t="s">
        <v>208</v>
      </c>
      <c r="CG238" s="775" t="s">
        <v>208</v>
      </c>
      <c r="CH238" s="775" t="s">
        <v>208</v>
      </c>
      <c r="CI238" s="775" t="s">
        <v>208</v>
      </c>
      <c r="CJ238" s="759" t="s">
        <v>208</v>
      </c>
      <c r="CK238" s="775" t="s">
        <v>208</v>
      </c>
      <c r="CL238" s="775" t="s">
        <v>208</v>
      </c>
      <c r="CM238" s="775" t="s">
        <v>208</v>
      </c>
      <c r="CN238" s="775" t="s">
        <v>208</v>
      </c>
      <c r="CO238" s="156">
        <v>0.4</v>
      </c>
      <c r="CP238" s="772" t="s">
        <v>208</v>
      </c>
      <c r="CQ238" s="772" t="s">
        <v>208</v>
      </c>
      <c r="CR238" s="772" t="s">
        <v>208</v>
      </c>
      <c r="CS238" s="772" t="s">
        <v>208</v>
      </c>
      <c r="CT238" s="298">
        <v>0.75</v>
      </c>
      <c r="CU238" s="141">
        <v>0.52</v>
      </c>
      <c r="CV238" s="141">
        <v>0.37</v>
      </c>
      <c r="CW238" s="141">
        <v>0.36</v>
      </c>
      <c r="CX238" s="141">
        <v>0.48</v>
      </c>
      <c r="CY238" s="298">
        <v>0.43</v>
      </c>
      <c r="CZ238" s="141">
        <v>0.22</v>
      </c>
      <c r="DA238" s="141">
        <v>0.24</v>
      </c>
      <c r="DB238" s="141">
        <v>0.47</v>
      </c>
      <c r="DC238" s="141">
        <v>0.21</v>
      </c>
      <c r="DD238" s="140">
        <v>0.28</v>
      </c>
      <c r="DE238" s="142">
        <v>0.23</v>
      </c>
      <c r="DF238" s="141">
        <v>-0.02</v>
      </c>
      <c r="DG238" s="141">
        <f t="shared" ref="DG238" si="1240">DG237-DG239</f>
        <v>-0.0317857916666667</v>
      </c>
      <c r="DH238" s="141">
        <f t="shared" ref="DH238" si="1241">DH237-DH239</f>
        <v>-0.0303831943620177</v>
      </c>
      <c r="DI238" s="140">
        <f>SUMPRODUCT(DE238:DH238,CZ236:DC236)/DD236</f>
        <v>0.0261897436436542</v>
      </c>
      <c r="DJ238" s="141">
        <f t="shared" ref="DJ238" si="1242">DJ237-DJ239</f>
        <v>0.0182242318840578</v>
      </c>
      <c r="DK238" s="141">
        <f t="shared" ref="DK238" si="1243">DK237-DK239</f>
        <v>0.0431660086455329</v>
      </c>
      <c r="DL238" s="141">
        <f t="shared" ref="DL238" si="1244">DL237-DL239</f>
        <v>0.0731549295774649</v>
      </c>
      <c r="DM238" s="141">
        <f t="shared" ref="DM238" si="1245">DM237-DM239</f>
        <v>0.0668648648648649</v>
      </c>
      <c r="DN238" s="140">
        <f>SUMPRODUCT(DJ238:DM238,DE236:DH236)/DI236</f>
        <v>0.0511394705480014</v>
      </c>
      <c r="DO238" s="141">
        <f t="shared" ref="DO238:DR238" si="1246">DO237-DO239</f>
        <v>0.0866490765171506</v>
      </c>
      <c r="DP238" s="141">
        <f t="shared" si="1246"/>
        <v>0.0860416666666668</v>
      </c>
      <c r="DQ238" s="141">
        <f t="shared" si="1246"/>
        <v>0.0851020408163263</v>
      </c>
      <c r="DR238" s="141">
        <f t="shared" si="1246"/>
        <v>0.0837623762376241</v>
      </c>
      <c r="DS238" s="140">
        <f>SUMPRODUCT(DO238:DR238,DJ236:DM236)/DN236</f>
        <v>0.0853036235375559</v>
      </c>
    </row>
    <row r="239" s="3" customFormat="1" spans="2:123">
      <c r="B239" s="144" t="s">
        <v>372</v>
      </c>
      <c r="C239" s="284"/>
      <c r="D239" s="189"/>
      <c r="E239" s="189"/>
      <c r="F239" s="189"/>
      <c r="G239" s="189"/>
      <c r="H239" s="188"/>
      <c r="I239" s="189"/>
      <c r="J239" s="189"/>
      <c r="K239" s="189"/>
      <c r="L239" s="189"/>
      <c r="M239" s="188"/>
      <c r="N239" s="189"/>
      <c r="O239" s="189"/>
      <c r="P239" s="189"/>
      <c r="Q239" s="189"/>
      <c r="R239" s="188"/>
      <c r="S239" s="189"/>
      <c r="T239" s="189"/>
      <c r="U239" s="189"/>
      <c r="V239" s="189"/>
      <c r="W239" s="188"/>
      <c r="X239" s="189"/>
      <c r="Y239" s="189"/>
      <c r="Z239" s="195"/>
      <c r="AA239" s="195"/>
      <c r="AB239" s="188"/>
      <c r="AC239" s="195"/>
      <c r="AD239" s="195"/>
      <c r="AE239" s="195"/>
      <c r="AF239" s="195"/>
      <c r="AG239" s="194"/>
      <c r="AH239" s="195"/>
      <c r="AI239" s="195"/>
      <c r="AJ239" s="195"/>
      <c r="AK239" s="195"/>
      <c r="AL239" s="194"/>
      <c r="AM239" s="195"/>
      <c r="AN239" s="195"/>
      <c r="AO239" s="195"/>
      <c r="AP239" s="195"/>
      <c r="AQ239" s="194"/>
      <c r="AR239" s="195"/>
      <c r="AS239" s="195"/>
      <c r="AT239" s="195"/>
      <c r="AU239" s="195"/>
      <c r="AV239" s="194"/>
      <c r="AW239" s="195"/>
      <c r="AX239" s="195"/>
      <c r="AY239" s="195"/>
      <c r="AZ239" s="195"/>
      <c r="BA239" s="194"/>
      <c r="BB239" s="195"/>
      <c r="BC239" s="195"/>
      <c r="BD239" s="195"/>
      <c r="BE239" s="195"/>
      <c r="BF239" s="194"/>
      <c r="BG239" s="195"/>
      <c r="BH239" s="195"/>
      <c r="BI239" s="195"/>
      <c r="BJ239" s="195"/>
      <c r="BK239" s="194"/>
      <c r="BL239" s="195"/>
      <c r="BM239" s="195"/>
      <c r="BN239" s="195"/>
      <c r="BO239" s="195"/>
      <c r="BP239" s="194"/>
      <c r="BQ239" s="195"/>
      <c r="BR239" s="195"/>
      <c r="BS239" s="195"/>
      <c r="BT239" s="120"/>
      <c r="BU239" s="119"/>
      <c r="BV239" s="120"/>
      <c r="BW239" s="120"/>
      <c r="BX239" s="120"/>
      <c r="BY239" s="189"/>
      <c r="BZ239" s="188"/>
      <c r="CA239" s="189"/>
      <c r="CB239" s="189"/>
      <c r="CC239" s="189"/>
      <c r="CD239" s="189"/>
      <c r="CE239" s="188"/>
      <c r="CF239" s="189"/>
      <c r="CG239" s="189"/>
      <c r="CH239" s="189"/>
      <c r="CI239" s="189"/>
      <c r="CJ239" s="188"/>
      <c r="CK239" s="189"/>
      <c r="CL239" s="189"/>
      <c r="CM239" s="189"/>
      <c r="CN239" s="189"/>
      <c r="CO239" s="156">
        <f>(1+CO237)/(1+CO238)-1</f>
        <v>-0.0517503134224414</v>
      </c>
      <c r="CP239" s="239"/>
      <c r="CQ239" s="239"/>
      <c r="CR239" s="239"/>
      <c r="CS239" s="239"/>
      <c r="CT239" s="298">
        <f t="shared" ref="CT239" si="1247">(1+CT237)/(1+CT238)-1</f>
        <v>-0.044723097711547</v>
      </c>
      <c r="CU239" s="141">
        <f t="shared" ref="CU239" si="1248">(1+CU237)/(1+CU238)-1</f>
        <v>-0.0485975468595131</v>
      </c>
      <c r="CV239" s="141">
        <f t="shared" ref="CV239" si="1249">(1+CV237)/(1+CV238)-1</f>
        <v>-0.0217960012098771</v>
      </c>
      <c r="CW239" s="141">
        <f t="shared" ref="CW239" si="1250">(1+CW237)/(1+CW238)-1</f>
        <v>0.0239596615128479</v>
      </c>
      <c r="CX239" s="141">
        <f t="shared" ref="CX239" si="1251">(1+CX237)/(1+CX238)-1</f>
        <v>-0.0119511361408894</v>
      </c>
      <c r="CY239" s="140">
        <f t="shared" ref="CY239" si="1252">(1+CY237)/(1+CY238)-1</f>
        <v>-0.0122188967337137</v>
      </c>
      <c r="CZ239" s="141">
        <f t="shared" ref="CZ239" si="1253">(1+CZ237)/(1+CZ238)-1</f>
        <v>-0.00679382477289603</v>
      </c>
      <c r="DA239" s="141">
        <f t="shared" ref="DA239:DC239" si="1254">(1+DA237)/(1+DA238)-1</f>
        <v>0.00847969154378925</v>
      </c>
      <c r="DB239" s="141">
        <f t="shared" si="1254"/>
        <v>-0.00554508379255314</v>
      </c>
      <c r="DC239" s="141">
        <f t="shared" si="1254"/>
        <v>0.0275316684109856</v>
      </c>
      <c r="DD239" s="140">
        <f t="shared" ref="DD239" si="1255">DD237-DD238</f>
        <v>0.0090261559040854</v>
      </c>
      <c r="DE239" s="141">
        <f t="shared" ref="DE239:DF239" si="1256">(1+DE237)/(1+DE238)-1</f>
        <v>0.0566095294232938</v>
      </c>
      <c r="DF239" s="141">
        <f t="shared" si="1256"/>
        <v>0.0572796533056665</v>
      </c>
      <c r="DG239" s="213">
        <v>0.061</v>
      </c>
      <c r="DH239" s="213">
        <v>0.047</v>
      </c>
      <c r="DI239" s="140">
        <f t="shared" ref="DI239" si="1257">DI237-DI238</f>
        <v>0.0575048185005802</v>
      </c>
      <c r="DJ239" s="213">
        <v>0.024</v>
      </c>
      <c r="DK239" s="213">
        <v>0.009</v>
      </c>
      <c r="DL239" s="213">
        <v>0</v>
      </c>
      <c r="DM239" s="213">
        <v>0</v>
      </c>
      <c r="DN239" s="140">
        <f t="shared" ref="DN239" si="1258">DN237-DN238</f>
        <v>0.00796424500051033</v>
      </c>
      <c r="DO239" s="213">
        <v>0</v>
      </c>
      <c r="DP239" s="213">
        <v>0</v>
      </c>
      <c r="DQ239" s="213">
        <v>0</v>
      </c>
      <c r="DR239" s="213">
        <v>0</v>
      </c>
      <c r="DS239" s="140">
        <f t="shared" ref="DS239" si="1259">DS237-DS238</f>
        <v>0</v>
      </c>
    </row>
    <row r="240" s="3" customFormat="1" spans="2:123">
      <c r="B240" s="130"/>
      <c r="C240" s="284"/>
      <c r="D240" s="189"/>
      <c r="E240" s="189"/>
      <c r="F240" s="189"/>
      <c r="G240" s="189"/>
      <c r="H240" s="188"/>
      <c r="I240" s="189"/>
      <c r="J240" s="189"/>
      <c r="K240" s="189"/>
      <c r="L240" s="189"/>
      <c r="M240" s="188"/>
      <c r="N240" s="189"/>
      <c r="O240" s="189"/>
      <c r="P240" s="189"/>
      <c r="Q240" s="189"/>
      <c r="R240" s="188"/>
      <c r="S240" s="189"/>
      <c r="T240" s="189"/>
      <c r="U240" s="189"/>
      <c r="V240" s="189"/>
      <c r="W240" s="188"/>
      <c r="X240" s="189"/>
      <c r="Y240" s="189"/>
      <c r="Z240" s="195"/>
      <c r="AA240" s="195"/>
      <c r="AB240" s="188"/>
      <c r="AC240" s="195"/>
      <c r="AD240" s="195"/>
      <c r="AE240" s="195"/>
      <c r="AF240" s="195"/>
      <c r="AG240" s="194"/>
      <c r="AH240" s="195"/>
      <c r="AI240" s="195"/>
      <c r="AJ240" s="195"/>
      <c r="AK240" s="195"/>
      <c r="AL240" s="194"/>
      <c r="AM240" s="195"/>
      <c r="AN240" s="195"/>
      <c r="AO240" s="195"/>
      <c r="AP240" s="195"/>
      <c r="AQ240" s="194"/>
      <c r="AR240" s="195"/>
      <c r="AS240" s="195"/>
      <c r="AT240" s="195"/>
      <c r="AU240" s="195"/>
      <c r="AV240" s="194"/>
      <c r="AW240" s="195"/>
      <c r="AX240" s="195"/>
      <c r="AY240" s="195"/>
      <c r="AZ240" s="195"/>
      <c r="BA240" s="194"/>
      <c r="BB240" s="195"/>
      <c r="BC240" s="195"/>
      <c r="BD240" s="195"/>
      <c r="BE240" s="195"/>
      <c r="BF240" s="194"/>
      <c r="BG240" s="195"/>
      <c r="BH240" s="195"/>
      <c r="BI240" s="195"/>
      <c r="BJ240" s="195"/>
      <c r="BK240" s="194"/>
      <c r="BL240" s="195"/>
      <c r="BM240" s="195"/>
      <c r="BN240" s="195"/>
      <c r="BO240" s="195"/>
      <c r="BP240" s="194"/>
      <c r="BQ240" s="195"/>
      <c r="BR240" s="195"/>
      <c r="BS240" s="195"/>
      <c r="BT240" s="120"/>
      <c r="BU240" s="119"/>
      <c r="BV240" s="120"/>
      <c r="BW240" s="120"/>
      <c r="BX240" s="120"/>
      <c r="BY240" s="189"/>
      <c r="BZ240" s="188"/>
      <c r="CA240" s="189"/>
      <c r="CB240" s="189"/>
      <c r="CC240" s="189"/>
      <c r="CD240" s="189"/>
      <c r="CE240" s="188"/>
      <c r="CF240" s="189"/>
      <c r="CG240" s="189"/>
      <c r="CH240" s="189"/>
      <c r="CI240" s="189"/>
      <c r="CJ240" s="188"/>
      <c r="CK240" s="189"/>
      <c r="CL240" s="189"/>
      <c r="CM240" s="189"/>
      <c r="CN240" s="189"/>
      <c r="CO240" s="188"/>
      <c r="CP240" s="189"/>
      <c r="CQ240" s="189"/>
      <c r="CR240" s="189"/>
      <c r="CS240" s="189"/>
      <c r="CT240" s="188"/>
      <c r="CU240" s="189"/>
      <c r="CV240" s="189"/>
      <c r="CW240" s="189"/>
      <c r="CX240" s="189"/>
      <c r="CY240" s="188"/>
      <c r="CZ240" s="189"/>
      <c r="DA240" s="189"/>
      <c r="DB240" s="189"/>
      <c r="DC240" s="189"/>
      <c r="DD240" s="188"/>
      <c r="DE240" s="308"/>
      <c r="DF240" s="189"/>
      <c r="DG240" s="189"/>
      <c r="DH240" s="189"/>
      <c r="DI240" s="188"/>
      <c r="DJ240" s="189"/>
      <c r="DK240" s="189"/>
      <c r="DL240" s="189"/>
      <c r="DM240" s="189"/>
      <c r="DN240" s="188"/>
      <c r="DO240" s="189"/>
      <c r="DP240" s="189"/>
      <c r="DQ240" s="189"/>
      <c r="DR240" s="189"/>
      <c r="DS240" s="188"/>
    </row>
    <row r="241" spans="2:123">
      <c r="B241" s="33" t="s">
        <v>391</v>
      </c>
      <c r="C241" s="242"/>
      <c r="D241" s="120"/>
      <c r="E241" s="120"/>
      <c r="F241" s="120"/>
      <c r="G241" s="120"/>
      <c r="H241" s="119"/>
      <c r="I241" s="120"/>
      <c r="J241" s="120"/>
      <c r="K241" s="120"/>
      <c r="L241" s="120"/>
      <c r="M241" s="119"/>
      <c r="N241" s="120"/>
      <c r="O241" s="120"/>
      <c r="P241" s="120"/>
      <c r="Q241" s="120"/>
      <c r="R241" s="119"/>
      <c r="S241" s="120"/>
      <c r="T241" s="120"/>
      <c r="U241" s="120"/>
      <c r="V241" s="120"/>
      <c r="W241" s="119"/>
      <c r="X241" s="120"/>
      <c r="Y241" s="120"/>
      <c r="Z241" s="349"/>
      <c r="AA241" s="349"/>
      <c r="AB241" s="119"/>
      <c r="AC241" s="349"/>
      <c r="AD241" s="349"/>
      <c r="AE241" s="349"/>
      <c r="AF241" s="349"/>
      <c r="AG241" s="350"/>
      <c r="AH241" s="349"/>
      <c r="AI241" s="349"/>
      <c r="AJ241" s="349"/>
      <c r="AK241" s="349"/>
      <c r="AL241" s="350"/>
      <c r="AM241" s="349"/>
      <c r="AN241" s="349"/>
      <c r="AO241" s="349"/>
      <c r="AP241" s="349"/>
      <c r="AQ241" s="350"/>
      <c r="AR241" s="349"/>
      <c r="AS241" s="349"/>
      <c r="AT241" s="349"/>
      <c r="AU241" s="349"/>
      <c r="AV241" s="350"/>
      <c r="AW241" s="349"/>
      <c r="AX241" s="349"/>
      <c r="AY241" s="349"/>
      <c r="AZ241" s="349"/>
      <c r="BA241" s="350"/>
      <c r="BB241" s="349"/>
      <c r="BC241" s="349"/>
      <c r="BD241" s="349"/>
      <c r="BE241" s="349"/>
      <c r="BF241" s="350"/>
      <c r="BG241" s="349"/>
      <c r="BH241" s="349"/>
      <c r="BI241" s="349"/>
      <c r="BJ241" s="349"/>
      <c r="BK241" s="350"/>
      <c r="BL241" s="349"/>
      <c r="BM241" s="349"/>
      <c r="BN241" s="349"/>
      <c r="BO241" s="349"/>
      <c r="BP241" s="350"/>
      <c r="BQ241" s="349"/>
      <c r="BR241" s="349"/>
      <c r="BS241" s="349"/>
      <c r="BT241" s="120"/>
      <c r="BU241" s="119"/>
      <c r="BV241" s="120"/>
      <c r="BW241" s="120"/>
      <c r="BX241" s="120"/>
      <c r="BY241" s="120"/>
      <c r="BZ241" s="119"/>
      <c r="CA241" s="120"/>
      <c r="CB241" s="120"/>
      <c r="CC241" s="120"/>
      <c r="CD241" s="120"/>
      <c r="CE241" s="763" t="s">
        <v>208</v>
      </c>
      <c r="CF241" s="761" t="s">
        <v>208</v>
      </c>
      <c r="CG241" s="761" t="s">
        <v>208</v>
      </c>
      <c r="CH241" s="761" t="s">
        <v>208</v>
      </c>
      <c r="CI241" s="761" t="s">
        <v>208</v>
      </c>
      <c r="CJ241" s="763" t="s">
        <v>208</v>
      </c>
      <c r="CK241" s="761" t="s">
        <v>208</v>
      </c>
      <c r="CL241" s="761" t="s">
        <v>208</v>
      </c>
      <c r="CM241" s="761" t="s">
        <v>208</v>
      </c>
      <c r="CN241" s="761" t="s">
        <v>208</v>
      </c>
      <c r="CO241" s="763" t="s">
        <v>208</v>
      </c>
      <c r="CP241" s="761" t="s">
        <v>208</v>
      </c>
      <c r="CQ241" s="761" t="s">
        <v>208</v>
      </c>
      <c r="CR241" s="761" t="s">
        <v>208</v>
      </c>
      <c r="CS241" s="290">
        <v>0.56</v>
      </c>
      <c r="CT241" s="289">
        <v>0.39</v>
      </c>
      <c r="CU241" s="351">
        <v>0.26</v>
      </c>
      <c r="CV241" s="351">
        <v>0.21</v>
      </c>
      <c r="CW241" s="351">
        <v>0.27</v>
      </c>
      <c r="CX241" s="290">
        <v>0.26</v>
      </c>
      <c r="CY241" s="289">
        <v>0.25</v>
      </c>
      <c r="CZ241" s="301">
        <v>0.07</v>
      </c>
      <c r="DA241" s="301">
        <v>0.17</v>
      </c>
      <c r="DB241" s="301">
        <v>0.24</v>
      </c>
      <c r="DC241" s="301">
        <v>0.3</v>
      </c>
      <c r="DD241" s="302">
        <v>0.2</v>
      </c>
      <c r="DE241" s="301">
        <v>0.2</v>
      </c>
      <c r="DF241" s="301">
        <v>-0.02</v>
      </c>
      <c r="DG241" s="301">
        <f>DG242+DG239</f>
        <v>-0.00900000000000001</v>
      </c>
      <c r="DH241" s="301">
        <f>DH242+DH239</f>
        <v>-0.023</v>
      </c>
      <c r="DI241" s="302">
        <f>SUMPRODUCT(DE241:DH241,CZ236:DC236)/DD236</f>
        <v>0.0281627172114869</v>
      </c>
      <c r="DJ241" s="301">
        <f>DJ242+DJ239</f>
        <v>-0.006</v>
      </c>
      <c r="DK241" s="301">
        <f>DK242+DK239</f>
        <v>-0.001</v>
      </c>
      <c r="DL241" s="301">
        <f>DL242+DL239</f>
        <v>0.02</v>
      </c>
      <c r="DM241" s="301">
        <f>DM242+DM239</f>
        <v>0.02</v>
      </c>
      <c r="DN241" s="302">
        <f>SUMPRODUCT(DJ241:DM241,DE236:DH236)/DI236</f>
        <v>0.00896374888038888</v>
      </c>
      <c r="DO241" s="301">
        <f>DO242+DO239</f>
        <v>0.04</v>
      </c>
      <c r="DP241" s="301">
        <f>DP242+DP239</f>
        <v>0.04</v>
      </c>
      <c r="DQ241" s="301">
        <f>DQ242+DQ239</f>
        <v>0.04</v>
      </c>
      <c r="DR241" s="301">
        <f>DR242+DR239</f>
        <v>0.04</v>
      </c>
      <c r="DS241" s="302">
        <f>SUMPRODUCT(DO241:DR241,DJ236:DM236)/DN236</f>
        <v>0.04</v>
      </c>
    </row>
    <row r="242" s="3" customFormat="1" spans="2:123">
      <c r="B242" s="130" t="s">
        <v>392</v>
      </c>
      <c r="C242" s="284"/>
      <c r="D242" s="189"/>
      <c r="E242" s="189"/>
      <c r="F242" s="189"/>
      <c r="G242" s="189"/>
      <c r="H242" s="188"/>
      <c r="I242" s="189"/>
      <c r="J242" s="189"/>
      <c r="K242" s="189"/>
      <c r="L242" s="189"/>
      <c r="M242" s="188"/>
      <c r="N242" s="189"/>
      <c r="O242" s="189"/>
      <c r="P242" s="189"/>
      <c r="Q242" s="189"/>
      <c r="R242" s="188"/>
      <c r="S242" s="189"/>
      <c r="T242" s="189"/>
      <c r="U242" s="189"/>
      <c r="V242" s="189"/>
      <c r="W242" s="188"/>
      <c r="X242" s="189"/>
      <c r="Y242" s="189"/>
      <c r="Z242" s="195"/>
      <c r="AA242" s="195"/>
      <c r="AB242" s="188"/>
      <c r="AC242" s="195"/>
      <c r="AD242" s="195"/>
      <c r="AE242" s="195"/>
      <c r="AF242" s="195"/>
      <c r="AG242" s="194"/>
      <c r="AH242" s="195"/>
      <c r="AI242" s="195"/>
      <c r="AJ242" s="195"/>
      <c r="AK242" s="195"/>
      <c r="AL242" s="194"/>
      <c r="AM242" s="195"/>
      <c r="AN242" s="195"/>
      <c r="AO242" s="195"/>
      <c r="AP242" s="195"/>
      <c r="AQ242" s="194"/>
      <c r="AR242" s="195"/>
      <c r="AS242" s="195"/>
      <c r="AT242" s="195"/>
      <c r="AU242" s="195"/>
      <c r="AV242" s="194"/>
      <c r="AW242" s="195"/>
      <c r="AX242" s="195"/>
      <c r="AY242" s="195"/>
      <c r="AZ242" s="195"/>
      <c r="BA242" s="194"/>
      <c r="BB242" s="195"/>
      <c r="BC242" s="195"/>
      <c r="BD242" s="195"/>
      <c r="BE242" s="195"/>
      <c r="BF242" s="194"/>
      <c r="BG242" s="195"/>
      <c r="BH242" s="195"/>
      <c r="BI242" s="195"/>
      <c r="BJ242" s="195"/>
      <c r="BK242" s="194"/>
      <c r="BL242" s="195"/>
      <c r="BM242" s="195"/>
      <c r="BN242" s="195"/>
      <c r="BO242" s="195"/>
      <c r="BP242" s="194"/>
      <c r="BQ242" s="195"/>
      <c r="BR242" s="195"/>
      <c r="BS242" s="195"/>
      <c r="BT242" s="120"/>
      <c r="BU242" s="119"/>
      <c r="BV242" s="120"/>
      <c r="BW242" s="120"/>
      <c r="BX242" s="120"/>
      <c r="BY242" s="189"/>
      <c r="BZ242" s="188"/>
      <c r="CA242" s="189"/>
      <c r="CB242" s="189"/>
      <c r="CC242" s="189"/>
      <c r="CD242" s="189"/>
      <c r="CE242" s="759" t="s">
        <v>208</v>
      </c>
      <c r="CF242" s="775" t="s">
        <v>208</v>
      </c>
      <c r="CG242" s="775" t="s">
        <v>208</v>
      </c>
      <c r="CH242" s="775" t="s">
        <v>208</v>
      </c>
      <c r="CI242" s="775" t="s">
        <v>208</v>
      </c>
      <c r="CJ242" s="759" t="s">
        <v>208</v>
      </c>
      <c r="CK242" s="775" t="s">
        <v>208</v>
      </c>
      <c r="CL242" s="775" t="s">
        <v>208</v>
      </c>
      <c r="CM242" s="775" t="s">
        <v>208</v>
      </c>
      <c r="CN242" s="775" t="s">
        <v>208</v>
      </c>
      <c r="CO242" s="759" t="s">
        <v>208</v>
      </c>
      <c r="CP242" s="775" t="s">
        <v>208</v>
      </c>
      <c r="CQ242" s="775" t="s">
        <v>208</v>
      </c>
      <c r="CR242" s="775" t="s">
        <v>208</v>
      </c>
      <c r="CS242" s="303">
        <v>0.6</v>
      </c>
      <c r="CT242" s="304">
        <v>0.46</v>
      </c>
      <c r="CU242" s="305">
        <v>0.33</v>
      </c>
      <c r="CV242" s="305">
        <v>0.23</v>
      </c>
      <c r="CW242" s="305">
        <v>0.24</v>
      </c>
      <c r="CX242" s="303">
        <v>0.27</v>
      </c>
      <c r="CY242" s="304">
        <v>0.27</v>
      </c>
      <c r="CZ242" s="305">
        <v>0.08</v>
      </c>
      <c r="DA242" s="305">
        <v>0.16</v>
      </c>
      <c r="DB242" s="305">
        <v>0.25</v>
      </c>
      <c r="DC242" s="305">
        <v>0.26</v>
      </c>
      <c r="DD242" s="306">
        <v>0.19</v>
      </c>
      <c r="DE242" s="305">
        <v>0.13</v>
      </c>
      <c r="DF242" s="305">
        <v>-0.08</v>
      </c>
      <c r="DG242" s="307">
        <v>-0.07</v>
      </c>
      <c r="DH242" s="307">
        <v>-0.07</v>
      </c>
      <c r="DI242" s="306">
        <f>SUMPRODUCT(DE242:DH242,CZ236:DC236)/DD236</f>
        <v>-0.0302853546189621</v>
      </c>
      <c r="DJ242" s="307">
        <v>-0.03</v>
      </c>
      <c r="DK242" s="307">
        <v>-0.01</v>
      </c>
      <c r="DL242" s="307">
        <v>0.02</v>
      </c>
      <c r="DM242" s="307">
        <v>0.02</v>
      </c>
      <c r="DN242" s="306">
        <f>SUMPRODUCT(DJ242:DM242,DE236:DH236)/DI236</f>
        <v>0.000999503879878554</v>
      </c>
      <c r="DO242" s="307">
        <v>0.04</v>
      </c>
      <c r="DP242" s="307">
        <v>0.04</v>
      </c>
      <c r="DQ242" s="307">
        <v>0.04</v>
      </c>
      <c r="DR242" s="307">
        <v>0.04</v>
      </c>
      <c r="DS242" s="306">
        <f>SUMPRODUCT(DO242:DR242,DJ236:DM236)/DN236</f>
        <v>0.04</v>
      </c>
    </row>
    <row r="243" s="3" customFormat="1" spans="2:123">
      <c r="B243" s="130"/>
      <c r="C243" s="284"/>
      <c r="D243" s="189"/>
      <c r="E243" s="189"/>
      <c r="F243" s="189"/>
      <c r="G243" s="189"/>
      <c r="H243" s="188"/>
      <c r="I243" s="189"/>
      <c r="J243" s="189"/>
      <c r="K243" s="189"/>
      <c r="L243" s="189"/>
      <c r="M243" s="188"/>
      <c r="N243" s="189"/>
      <c r="O243" s="189"/>
      <c r="P243" s="189"/>
      <c r="Q243" s="189"/>
      <c r="R243" s="188"/>
      <c r="S243" s="189"/>
      <c r="T243" s="189"/>
      <c r="U243" s="189"/>
      <c r="V243" s="189"/>
      <c r="W243" s="188"/>
      <c r="X243" s="189"/>
      <c r="Y243" s="189"/>
      <c r="Z243" s="195"/>
      <c r="AA243" s="195"/>
      <c r="AB243" s="188"/>
      <c r="AC243" s="195"/>
      <c r="AD243" s="195"/>
      <c r="AE243" s="195"/>
      <c r="AF243" s="195"/>
      <c r="AG243" s="194"/>
      <c r="AH243" s="195"/>
      <c r="AI243" s="195"/>
      <c r="AJ243" s="195"/>
      <c r="AK243" s="195"/>
      <c r="AL243" s="194"/>
      <c r="AM243" s="195"/>
      <c r="AN243" s="195"/>
      <c r="AO243" s="195"/>
      <c r="AP243" s="195"/>
      <c r="AQ243" s="194"/>
      <c r="AR243" s="195"/>
      <c r="AS243" s="195"/>
      <c r="AT243" s="195"/>
      <c r="AU243" s="195"/>
      <c r="AV243" s="194"/>
      <c r="AW243" s="195"/>
      <c r="AX243" s="195"/>
      <c r="AY243" s="195"/>
      <c r="AZ243" s="195"/>
      <c r="BA243" s="194"/>
      <c r="BB243" s="195"/>
      <c r="BC243" s="195"/>
      <c r="BD243" s="195"/>
      <c r="BE243" s="195"/>
      <c r="BF243" s="194"/>
      <c r="BG243" s="195"/>
      <c r="BH243" s="195"/>
      <c r="BI243" s="195"/>
      <c r="BJ243" s="195"/>
      <c r="BK243" s="194"/>
      <c r="BL243" s="195"/>
      <c r="BM243" s="195"/>
      <c r="BN243" s="195"/>
      <c r="BO243" s="195"/>
      <c r="BP243" s="194"/>
      <c r="BQ243" s="195"/>
      <c r="BR243" s="195"/>
      <c r="BS243" s="195"/>
      <c r="BT243" s="120"/>
      <c r="BU243" s="119"/>
      <c r="BV243" s="120"/>
      <c r="BW243" s="120"/>
      <c r="BX243" s="120"/>
      <c r="BY243" s="189"/>
      <c r="BZ243" s="188"/>
      <c r="CA243" s="189"/>
      <c r="CB243" s="189"/>
      <c r="CC243" s="189"/>
      <c r="CD243" s="189"/>
      <c r="CE243" s="188"/>
      <c r="CF243" s="189"/>
      <c r="CG243" s="189"/>
      <c r="CH243" s="189"/>
      <c r="CI243" s="189"/>
      <c r="CJ243" s="188"/>
      <c r="CK243" s="189"/>
      <c r="CL243" s="189"/>
      <c r="CM243" s="189"/>
      <c r="CN243" s="189"/>
      <c r="CO243" s="188"/>
      <c r="CP243" s="189"/>
      <c r="CQ243" s="189"/>
      <c r="CR243" s="189"/>
      <c r="CS243" s="189"/>
      <c r="CT243" s="188"/>
      <c r="CU243" s="189"/>
      <c r="CV243" s="189"/>
      <c r="CW243" s="189"/>
      <c r="CX243" s="189"/>
      <c r="CY243" s="188"/>
      <c r="CZ243" s="189"/>
      <c r="DA243" s="189"/>
      <c r="DB243" s="189"/>
      <c r="DC243" s="189"/>
      <c r="DD243" s="188"/>
      <c r="DE243" s="299"/>
      <c r="DF243" s="299"/>
      <c r="DG243" s="299"/>
      <c r="DH243" s="299"/>
      <c r="DI243" s="188"/>
      <c r="DJ243" s="299"/>
      <c r="DK243" s="189"/>
      <c r="DL243" s="189"/>
      <c r="DM243" s="189"/>
      <c r="DN243" s="188"/>
      <c r="DO243" s="189"/>
      <c r="DP243" s="189"/>
      <c r="DQ243" s="189"/>
      <c r="DR243" s="189"/>
      <c r="DS243" s="188"/>
    </row>
    <row r="244" s="1" customFormat="1" spans="2:123">
      <c r="B244" s="352" t="s">
        <v>374</v>
      </c>
      <c r="C244" s="226"/>
      <c r="D244" s="196"/>
      <c r="E244" s="196"/>
      <c r="F244" s="196"/>
      <c r="G244" s="196"/>
      <c r="H244" s="67"/>
      <c r="I244" s="196"/>
      <c r="J244" s="196"/>
      <c r="K244" s="196"/>
      <c r="L244" s="196"/>
      <c r="M244" s="67"/>
      <c r="N244" s="196"/>
      <c r="O244" s="196"/>
      <c r="P244" s="196"/>
      <c r="Q244" s="196"/>
      <c r="R244" s="67"/>
      <c r="S244" s="196"/>
      <c r="T244" s="196"/>
      <c r="U244" s="196"/>
      <c r="V244" s="196"/>
      <c r="W244" s="67"/>
      <c r="X244" s="196"/>
      <c r="Y244" s="196"/>
      <c r="Z244" s="196"/>
      <c r="AA244" s="196"/>
      <c r="AB244" s="67"/>
      <c r="AC244" s="196"/>
      <c r="AD244" s="196"/>
      <c r="AE244" s="196"/>
      <c r="AF244" s="196"/>
      <c r="AG244" s="67"/>
      <c r="AH244" s="196"/>
      <c r="AI244" s="196"/>
      <c r="AJ244" s="196"/>
      <c r="AK244" s="196"/>
      <c r="AL244" s="67"/>
      <c r="AM244" s="196"/>
      <c r="AN244" s="196"/>
      <c r="AO244" s="196"/>
      <c r="AP244" s="196"/>
      <c r="AQ244" s="67"/>
      <c r="AR244" s="196"/>
      <c r="AS244" s="196"/>
      <c r="AT244" s="196"/>
      <c r="AU244" s="196"/>
      <c r="AV244" s="67"/>
      <c r="AW244" s="196"/>
      <c r="AX244" s="196"/>
      <c r="AY244" s="196"/>
      <c r="AZ244" s="196"/>
      <c r="BA244" s="67"/>
      <c r="BB244" s="196"/>
      <c r="BC244" s="196"/>
      <c r="BD244" s="196"/>
      <c r="BE244" s="196"/>
      <c r="BF244" s="67"/>
      <c r="BG244" s="196"/>
      <c r="BH244" s="196"/>
      <c r="BI244" s="196"/>
      <c r="BJ244" s="196"/>
      <c r="BK244" s="67"/>
      <c r="BL244" s="196"/>
      <c r="BM244" s="196"/>
      <c r="BN244" s="196"/>
      <c r="BO244" s="196"/>
      <c r="BP244" s="67"/>
      <c r="BQ244" s="196"/>
      <c r="BR244" s="196"/>
      <c r="BS244" s="196"/>
      <c r="BT244" s="196"/>
      <c r="BU244" s="67"/>
      <c r="BV244" s="196"/>
      <c r="BW244" s="196"/>
      <c r="BX244" s="196"/>
      <c r="BY244" s="196"/>
      <c r="BZ244" s="67"/>
      <c r="CA244" s="196"/>
      <c r="CB244" s="196"/>
      <c r="CC244" s="196"/>
      <c r="CD244" s="196"/>
      <c r="CE244" s="67"/>
      <c r="CF244" s="196"/>
      <c r="CG244" s="196"/>
      <c r="CH244" s="196"/>
      <c r="CI244" s="196"/>
      <c r="CJ244" s="67"/>
      <c r="CK244" s="141"/>
      <c r="CL244" s="141"/>
      <c r="CM244" s="141"/>
      <c r="CN244" s="141"/>
      <c r="CO244" s="140"/>
      <c r="CP244" s="141"/>
      <c r="CQ244" s="141"/>
      <c r="CR244" s="141"/>
      <c r="CS244" s="141"/>
      <c r="CT244" s="140"/>
      <c r="CU244" s="141">
        <f>((1+CU238)/(1+CU245)/(1+CU242)-1)/CU250</f>
        <v>0.529100529100529</v>
      </c>
      <c r="CV244" s="141">
        <f>((1+CV238)/(1+CV245)/(1+CV242)-1)/CV250</f>
        <v>0.464211700940539</v>
      </c>
      <c r="CW244" s="141">
        <f>((1+CW238)/(1+CW245)/(1+CW242)-1)/CW250</f>
        <v>0.436471362738643</v>
      </c>
      <c r="CX244" s="141">
        <f>((1+CX238)/(1+CX245)/(1+CX242)-1)/CX250</f>
        <v>0.347102326085385</v>
      </c>
      <c r="CY244" s="140"/>
      <c r="CZ244" s="141">
        <f>((1+CZ238)/(1+CZ245)/(1+CZ242)-1)/CZ250</f>
        <v>0.645606390704429</v>
      </c>
      <c r="DA244" s="141">
        <f>((1+DA238)/(1+DA245)/(1+DA242)-1)/DA250</f>
        <v>0.330779054916987</v>
      </c>
      <c r="DB244" s="141">
        <f>((1+DB238)/(1+DB245)/(1+DB242)-1)/DB250</f>
        <v>0.88</v>
      </c>
      <c r="DC244" s="141">
        <f>((1+DC238)/(1+DC245)/(1+DC242)-1)/DC250</f>
        <v>0.263852944559466</v>
      </c>
      <c r="DD244" s="140"/>
      <c r="DE244" s="141">
        <f>((1+DE238)/(1+DE245)/(1+DE242)-1)/DE250</f>
        <v>0.674778761061948</v>
      </c>
      <c r="DF244" s="142">
        <f>((1+DF238)/(1+DF245)/(1+DF242)-1)/DF250</f>
        <v>0.600383631713553</v>
      </c>
      <c r="DG244" s="213">
        <v>0.45</v>
      </c>
      <c r="DH244" s="213">
        <v>0.45</v>
      </c>
      <c r="DI244" s="140"/>
      <c r="DJ244" s="213">
        <v>0.5</v>
      </c>
      <c r="DK244" s="213">
        <v>0.5</v>
      </c>
      <c r="DL244" s="213">
        <v>0.5</v>
      </c>
      <c r="DM244" s="213">
        <v>0.5</v>
      </c>
      <c r="DN244" s="140"/>
      <c r="DO244" s="213">
        <v>0.5</v>
      </c>
      <c r="DP244" s="213">
        <v>0.5</v>
      </c>
      <c r="DQ244" s="213">
        <v>0.5</v>
      </c>
      <c r="DR244" s="213">
        <v>0.5</v>
      </c>
      <c r="DS244" s="140"/>
    </row>
    <row r="245" s="1" customFormat="1" spans="2:123">
      <c r="B245" s="352" t="s">
        <v>375</v>
      </c>
      <c r="C245" s="226"/>
      <c r="D245" s="196"/>
      <c r="E245" s="196"/>
      <c r="F245" s="196"/>
      <c r="G245" s="196"/>
      <c r="H245" s="67"/>
      <c r="I245" s="196"/>
      <c r="J245" s="196"/>
      <c r="K245" s="196"/>
      <c r="L245" s="196"/>
      <c r="M245" s="67"/>
      <c r="N245" s="196"/>
      <c r="O245" s="196"/>
      <c r="P245" s="196"/>
      <c r="Q245" s="196"/>
      <c r="R245" s="67"/>
      <c r="S245" s="196"/>
      <c r="T245" s="196"/>
      <c r="U245" s="196"/>
      <c r="V245" s="196"/>
      <c r="W245" s="67"/>
      <c r="X245" s="196"/>
      <c r="Y245" s="196"/>
      <c r="Z245" s="196"/>
      <c r="AA245" s="196"/>
      <c r="AB245" s="67"/>
      <c r="AC245" s="196"/>
      <c r="AD245" s="196"/>
      <c r="AE245" s="196"/>
      <c r="AF245" s="196"/>
      <c r="AG245" s="67"/>
      <c r="AH245" s="196"/>
      <c r="AI245" s="196"/>
      <c r="AJ245" s="196"/>
      <c r="AK245" s="196"/>
      <c r="AL245" s="67"/>
      <c r="AM245" s="196"/>
      <c r="AN245" s="196"/>
      <c r="AO245" s="196"/>
      <c r="AP245" s="196"/>
      <c r="AQ245" s="67"/>
      <c r="AR245" s="196"/>
      <c r="AS245" s="196"/>
      <c r="AT245" s="196"/>
      <c r="AU245" s="196"/>
      <c r="AV245" s="67"/>
      <c r="AW245" s="196"/>
      <c r="AX245" s="196"/>
      <c r="AY245" s="196"/>
      <c r="AZ245" s="196"/>
      <c r="BA245" s="67"/>
      <c r="BB245" s="196"/>
      <c r="BC245" s="196"/>
      <c r="BD245" s="196"/>
      <c r="BE245" s="196"/>
      <c r="BF245" s="67"/>
      <c r="BG245" s="196"/>
      <c r="BH245" s="196"/>
      <c r="BI245" s="196"/>
      <c r="BJ245" s="196"/>
      <c r="BK245" s="67"/>
      <c r="BL245" s="196"/>
      <c r="BM245" s="196"/>
      <c r="BN245" s="196"/>
      <c r="BO245" s="196"/>
      <c r="BP245" s="67"/>
      <c r="BQ245" s="196"/>
      <c r="BR245" s="196"/>
      <c r="BS245" s="196"/>
      <c r="BT245" s="196"/>
      <c r="BU245" s="67"/>
      <c r="BV245" s="196"/>
      <c r="BW245" s="196"/>
      <c r="BX245" s="196"/>
      <c r="BY245" s="196"/>
      <c r="BZ245" s="67"/>
      <c r="CA245" s="196"/>
      <c r="CB245" s="196"/>
      <c r="CC245" s="196"/>
      <c r="CD245" s="196"/>
      <c r="CE245" s="67"/>
      <c r="CF245" s="196"/>
      <c r="CG245" s="196"/>
      <c r="CH245" s="196"/>
      <c r="CI245" s="196"/>
      <c r="CJ245" s="67"/>
      <c r="CK245" s="141"/>
      <c r="CL245" s="141"/>
      <c r="CM245" s="141"/>
      <c r="CN245" s="141"/>
      <c r="CO245" s="140"/>
      <c r="CP245" s="141"/>
      <c r="CQ245" s="141"/>
      <c r="CR245" s="141"/>
      <c r="CS245" s="141"/>
      <c r="CT245" s="140"/>
      <c r="CU245" s="311">
        <v>0</v>
      </c>
      <c r="CV245" s="311">
        <v>0</v>
      </c>
      <c r="CW245" s="311">
        <v>0</v>
      </c>
      <c r="CX245" s="311">
        <v>0.09</v>
      </c>
      <c r="CY245" s="140">
        <f>SUMPRODUCT(CU245:CX245,CP236:CS236)/CT236</f>
        <v>0.0271423175894414</v>
      </c>
      <c r="CZ245" s="311">
        <v>0</v>
      </c>
      <c r="DA245" s="311">
        <v>0</v>
      </c>
      <c r="DB245" s="311">
        <v>0</v>
      </c>
      <c r="DC245" s="142">
        <v>-0.08</v>
      </c>
      <c r="DD245" s="140">
        <f>SUMPRODUCT(CZ245:DC245,CU236:CX236)/CY236</f>
        <v>-0.0249768573101297</v>
      </c>
      <c r="DE245" s="311">
        <v>0</v>
      </c>
      <c r="DF245" s="311">
        <v>0</v>
      </c>
      <c r="DG245" s="213">
        <v>0</v>
      </c>
      <c r="DH245" s="213">
        <v>0</v>
      </c>
      <c r="DI245" s="140">
        <f>SUMPRODUCT(DE245:DH245,CZ236:DC236)/DD236</f>
        <v>0</v>
      </c>
      <c r="DJ245" s="213">
        <v>0</v>
      </c>
      <c r="DK245" s="213">
        <v>0</v>
      </c>
      <c r="DL245" s="213">
        <v>0</v>
      </c>
      <c r="DM245" s="213">
        <v>0</v>
      </c>
      <c r="DN245" s="140">
        <f>SUMPRODUCT(DJ245:DM245,DE236:DH236)/DI236</f>
        <v>0</v>
      </c>
      <c r="DO245" s="213">
        <v>0</v>
      </c>
      <c r="DP245" s="213">
        <v>0</v>
      </c>
      <c r="DQ245" s="213">
        <v>0</v>
      </c>
      <c r="DR245" s="213">
        <v>0</v>
      </c>
      <c r="DS245" s="140">
        <f>SUMPRODUCT(DO245:DR245,DJ236:DM236)/DN236</f>
        <v>0</v>
      </c>
    </row>
    <row r="246" s="3" customFormat="1" spans="2:123">
      <c r="B246" s="130"/>
      <c r="C246" s="284"/>
      <c r="D246" s="189"/>
      <c r="E246" s="189"/>
      <c r="F246" s="189"/>
      <c r="G246" s="189"/>
      <c r="H246" s="188"/>
      <c r="I246" s="189"/>
      <c r="J246" s="189"/>
      <c r="K246" s="189"/>
      <c r="L246" s="189"/>
      <c r="M246" s="188"/>
      <c r="N246" s="189"/>
      <c r="O246" s="189"/>
      <c r="P246" s="189"/>
      <c r="Q246" s="189"/>
      <c r="R246" s="188"/>
      <c r="S246" s="189"/>
      <c r="T246" s="189"/>
      <c r="U246" s="189"/>
      <c r="V246" s="189"/>
      <c r="W246" s="188"/>
      <c r="X246" s="189"/>
      <c r="Y246" s="189"/>
      <c r="Z246" s="195"/>
      <c r="AA246" s="195"/>
      <c r="AB246" s="188"/>
      <c r="AC246" s="195"/>
      <c r="AD246" s="195"/>
      <c r="AE246" s="195"/>
      <c r="AF246" s="195"/>
      <c r="AG246" s="194"/>
      <c r="AH246" s="195"/>
      <c r="AI246" s="195"/>
      <c r="AJ246" s="195"/>
      <c r="AK246" s="195"/>
      <c r="AL246" s="194"/>
      <c r="AM246" s="195"/>
      <c r="AN246" s="195"/>
      <c r="AO246" s="195"/>
      <c r="AP246" s="195"/>
      <c r="AQ246" s="194"/>
      <c r="AR246" s="195"/>
      <c r="AS246" s="195"/>
      <c r="AT246" s="195"/>
      <c r="AU246" s="195"/>
      <c r="AV246" s="194"/>
      <c r="AW246" s="195"/>
      <c r="AX246" s="195"/>
      <c r="AY246" s="195"/>
      <c r="AZ246" s="195"/>
      <c r="BA246" s="194"/>
      <c r="BB246" s="195"/>
      <c r="BC246" s="195"/>
      <c r="BD246" s="195"/>
      <c r="BE246" s="195"/>
      <c r="BF246" s="194"/>
      <c r="BG246" s="195"/>
      <c r="BH246" s="195"/>
      <c r="BI246" s="195"/>
      <c r="BJ246" s="195"/>
      <c r="BK246" s="194"/>
      <c r="BL246" s="195"/>
      <c r="BM246" s="195"/>
      <c r="BN246" s="195"/>
      <c r="BO246" s="195"/>
      <c r="BP246" s="194"/>
      <c r="BQ246" s="195"/>
      <c r="BR246" s="195"/>
      <c r="BS246" s="195"/>
      <c r="BT246" s="120"/>
      <c r="BU246" s="119"/>
      <c r="BV246" s="120"/>
      <c r="BW246" s="120"/>
      <c r="BX246" s="120"/>
      <c r="BY246" s="189"/>
      <c r="BZ246" s="188"/>
      <c r="CA246" s="189"/>
      <c r="CB246" s="189"/>
      <c r="CC246" s="189"/>
      <c r="CD246" s="189"/>
      <c r="CE246" s="188"/>
      <c r="CF246" s="189"/>
      <c r="CG246" s="189"/>
      <c r="CH246" s="189"/>
      <c r="CI246" s="189"/>
      <c r="CJ246" s="188"/>
      <c r="CK246" s="189"/>
      <c r="CL246" s="189"/>
      <c r="CM246" s="189"/>
      <c r="CN246" s="189"/>
      <c r="CO246" s="188"/>
      <c r="CP246" s="239"/>
      <c r="CQ246" s="239"/>
      <c r="CR246" s="239"/>
      <c r="CS246" s="239"/>
      <c r="CT246" s="238"/>
      <c r="CU246" s="239"/>
      <c r="CV246" s="239"/>
      <c r="CW246" s="239"/>
      <c r="CX246" s="239"/>
      <c r="CY246" s="238"/>
      <c r="CZ246" s="239"/>
      <c r="DA246" s="239"/>
      <c r="DB246" s="239"/>
      <c r="DC246" s="239"/>
      <c r="DD246" s="238"/>
      <c r="DE246" s="353"/>
      <c r="DF246" s="239"/>
      <c r="DG246" s="239"/>
      <c r="DH246" s="239"/>
      <c r="DI246" s="238"/>
      <c r="DJ246" s="239"/>
      <c r="DK246" s="239"/>
      <c r="DL246" s="239"/>
      <c r="DM246" s="239"/>
      <c r="DN246" s="238"/>
      <c r="DO246" s="239"/>
      <c r="DP246" s="239"/>
      <c r="DQ246" s="239"/>
      <c r="DR246" s="239"/>
      <c r="DS246" s="238"/>
    </row>
    <row r="247" s="3" customFormat="1" spans="2:123">
      <c r="B247" s="198" t="s">
        <v>393</v>
      </c>
      <c r="C247" s="119"/>
      <c r="D247" s="120"/>
      <c r="E247" s="120"/>
      <c r="F247" s="120"/>
      <c r="G247" s="120"/>
      <c r="H247" s="119"/>
      <c r="I247" s="120"/>
      <c r="J247" s="120"/>
      <c r="K247" s="120"/>
      <c r="L247" s="120"/>
      <c r="M247" s="119"/>
      <c r="N247" s="120"/>
      <c r="O247" s="120"/>
      <c r="P247" s="120"/>
      <c r="Q247" s="187">
        <v>0</v>
      </c>
      <c r="R247" s="119">
        <v>0</v>
      </c>
      <c r="S247" s="187">
        <v>0</v>
      </c>
      <c r="T247" s="187">
        <v>0</v>
      </c>
      <c r="U247" s="187">
        <v>0</v>
      </c>
      <c r="V247" s="187">
        <v>0</v>
      </c>
      <c r="W247" s="119">
        <v>0</v>
      </c>
      <c r="X247" s="187">
        <v>0</v>
      </c>
      <c r="Y247" s="187">
        <v>0</v>
      </c>
      <c r="Z247" s="187">
        <v>0</v>
      </c>
      <c r="AA247" s="187">
        <v>0</v>
      </c>
      <c r="AB247" s="119">
        <v>0</v>
      </c>
      <c r="AC247" s="187">
        <v>0</v>
      </c>
      <c r="AD247" s="187">
        <v>0</v>
      </c>
      <c r="AE247" s="187">
        <v>0</v>
      </c>
      <c r="AF247" s="187">
        <v>0</v>
      </c>
      <c r="AG247" s="119">
        <v>0</v>
      </c>
      <c r="AH247" s="187">
        <v>0</v>
      </c>
      <c r="AI247" s="187">
        <v>0</v>
      </c>
      <c r="AJ247" s="354">
        <v>0</v>
      </c>
      <c r="AK247" s="354">
        <v>0</v>
      </c>
      <c r="AL247" s="119">
        <v>0</v>
      </c>
      <c r="AM247" s="354">
        <v>0</v>
      </c>
      <c r="AN247" s="354">
        <v>0</v>
      </c>
      <c r="AO247" s="354">
        <v>0</v>
      </c>
      <c r="AP247" s="354">
        <v>0</v>
      </c>
      <c r="AQ247" s="119">
        <v>0</v>
      </c>
      <c r="AR247" s="354">
        <v>0</v>
      </c>
      <c r="AS247" s="354">
        <v>0</v>
      </c>
      <c r="AT247" s="354">
        <v>0</v>
      </c>
      <c r="AU247" s="354">
        <v>0</v>
      </c>
      <c r="AV247" s="119">
        <v>0</v>
      </c>
      <c r="AW247" s="354">
        <v>0</v>
      </c>
      <c r="AX247" s="354">
        <v>0</v>
      </c>
      <c r="AY247" s="354">
        <v>0</v>
      </c>
      <c r="AZ247" s="354">
        <v>0</v>
      </c>
      <c r="BA247" s="119">
        <v>0</v>
      </c>
      <c r="BB247" s="354">
        <v>0</v>
      </c>
      <c r="BC247" s="354">
        <v>0</v>
      </c>
      <c r="BD247" s="354">
        <v>0</v>
      </c>
      <c r="BE247" s="354">
        <v>0</v>
      </c>
      <c r="BF247" s="119">
        <v>0</v>
      </c>
      <c r="BG247" s="354">
        <v>0</v>
      </c>
      <c r="BH247" s="354">
        <v>0</v>
      </c>
      <c r="BI247" s="354">
        <v>0</v>
      </c>
      <c r="BJ247" s="354">
        <v>3</v>
      </c>
      <c r="BK247" s="215">
        <f>BJ247</f>
        <v>3</v>
      </c>
      <c r="BL247" s="354">
        <v>4</v>
      </c>
      <c r="BM247" s="354">
        <v>5</v>
      </c>
      <c r="BN247" s="354">
        <v>6</v>
      </c>
      <c r="BO247" s="120">
        <v>11</v>
      </c>
      <c r="BP247" s="215">
        <f>BO247</f>
        <v>11</v>
      </c>
      <c r="BQ247" s="120">
        <v>12</v>
      </c>
      <c r="BR247" s="120">
        <v>12</v>
      </c>
      <c r="BS247" s="120">
        <v>13</v>
      </c>
      <c r="BT247" s="120">
        <v>15</v>
      </c>
      <c r="BU247" s="215">
        <f>BT247</f>
        <v>15</v>
      </c>
      <c r="BV247" s="120">
        <v>19</v>
      </c>
      <c r="BW247" s="120">
        <v>20</v>
      </c>
      <c r="BX247" s="120">
        <v>25</v>
      </c>
      <c r="BY247" s="120">
        <v>29</v>
      </c>
      <c r="BZ247" s="215">
        <f>BY247</f>
        <v>29</v>
      </c>
      <c r="CA247" s="120">
        <v>31</v>
      </c>
      <c r="CB247" s="120">
        <v>37</v>
      </c>
      <c r="CC247" s="120">
        <v>39</v>
      </c>
      <c r="CD247" s="120">
        <v>44</v>
      </c>
      <c r="CE247" s="215">
        <f>CD247</f>
        <v>44</v>
      </c>
      <c r="CF247" s="120">
        <v>45</v>
      </c>
      <c r="CG247" s="120">
        <v>51</v>
      </c>
      <c r="CH247" s="120">
        <v>59</v>
      </c>
      <c r="CI247" s="120">
        <v>70</v>
      </c>
      <c r="CJ247" s="215">
        <f>CI247</f>
        <v>70</v>
      </c>
      <c r="CK247" s="120">
        <v>71</v>
      </c>
      <c r="CL247" s="120">
        <v>79</v>
      </c>
      <c r="CM247" s="355">
        <v>88</v>
      </c>
      <c r="CN247" s="120">
        <v>99</v>
      </c>
      <c r="CO247" s="215">
        <f>CN247</f>
        <v>99</v>
      </c>
      <c r="CP247" s="236">
        <v>101</v>
      </c>
      <c r="CQ247" s="217">
        <v>107</v>
      </c>
      <c r="CR247" s="217">
        <v>114</v>
      </c>
      <c r="CS247" s="217">
        <v>127</v>
      </c>
      <c r="CT247" s="216">
        <f>CS247</f>
        <v>127</v>
      </c>
      <c r="CU247" s="217">
        <v>127</v>
      </c>
      <c r="CV247" s="217">
        <v>132</v>
      </c>
      <c r="CW247" s="217">
        <v>138</v>
      </c>
      <c r="CX247" s="217">
        <v>151</v>
      </c>
      <c r="CY247" s="216">
        <f>CX247</f>
        <v>151</v>
      </c>
      <c r="CZ247" s="217">
        <v>154</v>
      </c>
      <c r="DA247" s="217">
        <v>159</v>
      </c>
      <c r="DB247" s="217">
        <v>165</v>
      </c>
      <c r="DC247" s="236">
        <v>172</v>
      </c>
      <c r="DD247" s="216">
        <f>DC247</f>
        <v>172</v>
      </c>
      <c r="DE247" s="236">
        <v>173</v>
      </c>
      <c r="DF247" s="236">
        <v>174</v>
      </c>
      <c r="DG247" s="315">
        <f>DF247+7</f>
        <v>181</v>
      </c>
      <c r="DH247" s="315">
        <f>DG247+8</f>
        <v>189</v>
      </c>
      <c r="DI247" s="216">
        <f>DH247</f>
        <v>189</v>
      </c>
      <c r="DJ247" s="315">
        <f>DI247+1</f>
        <v>190</v>
      </c>
      <c r="DK247" s="315">
        <f>DJ247+4</f>
        <v>194</v>
      </c>
      <c r="DL247" s="315">
        <f>DK247+4</f>
        <v>198</v>
      </c>
      <c r="DM247" s="315">
        <f>DL247+8</f>
        <v>206</v>
      </c>
      <c r="DN247" s="216">
        <f>DM247</f>
        <v>206</v>
      </c>
      <c r="DO247" s="315">
        <f>DN247+1</f>
        <v>207</v>
      </c>
      <c r="DP247" s="315">
        <f>DO247+4</f>
        <v>211</v>
      </c>
      <c r="DQ247" s="315">
        <f>DP247+4</f>
        <v>215</v>
      </c>
      <c r="DR247" s="315">
        <f>DQ247+8</f>
        <v>223</v>
      </c>
      <c r="DS247" s="216">
        <f>DR247</f>
        <v>223</v>
      </c>
    </row>
    <row r="248" s="3" customFormat="1" spans="2:123">
      <c r="B248" s="144" t="s">
        <v>305</v>
      </c>
      <c r="C248" s="356"/>
      <c r="D248" s="146"/>
      <c r="E248" s="146"/>
      <c r="F248" s="146"/>
      <c r="G248" s="146"/>
      <c r="H248" s="145"/>
      <c r="I248" s="146"/>
      <c r="J248" s="146"/>
      <c r="K248" s="146"/>
      <c r="L248" s="146"/>
      <c r="M248" s="145"/>
      <c r="N248" s="146"/>
      <c r="O248" s="146"/>
      <c r="P248" s="146"/>
      <c r="Q248" s="146"/>
      <c r="R248" s="145"/>
      <c r="S248" s="146"/>
      <c r="T248" s="146"/>
      <c r="U248" s="146"/>
      <c r="V248" s="146"/>
      <c r="W248" s="145"/>
      <c r="X248" s="146"/>
      <c r="Y248" s="146"/>
      <c r="Z248" s="357"/>
      <c r="AA248" s="357"/>
      <c r="AB248" s="145"/>
      <c r="AC248" s="357"/>
      <c r="AD248" s="357"/>
      <c r="AE248" s="357"/>
      <c r="AF248" s="357"/>
      <c r="AG248" s="358"/>
      <c r="AH248" s="357"/>
      <c r="AI248" s="357"/>
      <c r="AJ248" s="357"/>
      <c r="AK248" s="357"/>
      <c r="AL248" s="358"/>
      <c r="AM248" s="357"/>
      <c r="AN248" s="357"/>
      <c r="AO248" s="357"/>
      <c r="AP248" s="357"/>
      <c r="AQ248" s="358"/>
      <c r="AR248" s="357"/>
      <c r="AS248" s="357"/>
      <c r="AT248" s="357"/>
      <c r="AU248" s="357"/>
      <c r="AV248" s="358"/>
      <c r="AW248" s="357"/>
      <c r="AX248" s="357"/>
      <c r="AY248" s="357"/>
      <c r="AZ248" s="357"/>
      <c r="BA248" s="358"/>
      <c r="BB248" s="357"/>
      <c r="BC248" s="357"/>
      <c r="BD248" s="357"/>
      <c r="BE248" s="357"/>
      <c r="BF248" s="358"/>
      <c r="BG248" s="357"/>
      <c r="BH248" s="357"/>
      <c r="BI248" s="357"/>
      <c r="BJ248" s="357"/>
      <c r="BK248" s="358"/>
      <c r="BL248" s="192">
        <f>BL247-BK247</f>
        <v>1</v>
      </c>
      <c r="BM248" s="192">
        <f>BM247-BL247</f>
        <v>1</v>
      </c>
      <c r="BN248" s="192">
        <f>BN247-BM247</f>
        <v>1</v>
      </c>
      <c r="BO248" s="192">
        <f>BO247-BN247</f>
        <v>5</v>
      </c>
      <c r="BP248" s="191">
        <f>BP247-BK247</f>
        <v>8</v>
      </c>
      <c r="BQ248" s="192">
        <f>BQ247-BP247</f>
        <v>1</v>
      </c>
      <c r="BR248" s="192">
        <f>BR247-BQ247</f>
        <v>0</v>
      </c>
      <c r="BS248" s="192">
        <f>BS247-BR247</f>
        <v>1</v>
      </c>
      <c r="BT248" s="192">
        <f>BT247-BS247</f>
        <v>2</v>
      </c>
      <c r="BU248" s="191">
        <f>BU247-BP247</f>
        <v>4</v>
      </c>
      <c r="BV248" s="192">
        <f>BV247-BU247</f>
        <v>4</v>
      </c>
      <c r="BW248" s="192">
        <f>BW247-BV247</f>
        <v>1</v>
      </c>
      <c r="BX248" s="192">
        <f>BX247-BW247</f>
        <v>5</v>
      </c>
      <c r="BY248" s="192">
        <f>BY247-BX247</f>
        <v>4</v>
      </c>
      <c r="BZ248" s="191">
        <f>BZ247-BU247</f>
        <v>14</v>
      </c>
      <c r="CA248" s="192">
        <f>CA247-BZ247</f>
        <v>2</v>
      </c>
      <c r="CB248" s="192">
        <f>CB247-CA247</f>
        <v>6</v>
      </c>
      <c r="CC248" s="192">
        <f>CC247-CB247</f>
        <v>2</v>
      </c>
      <c r="CD248" s="192">
        <f>CD247-CC247</f>
        <v>5</v>
      </c>
      <c r="CE248" s="191">
        <f>CE247-BZ247</f>
        <v>15</v>
      </c>
      <c r="CF248" s="192">
        <f>CF247-CE247</f>
        <v>1</v>
      </c>
      <c r="CG248" s="192">
        <f>CG247-CF247</f>
        <v>6</v>
      </c>
      <c r="CH248" s="192">
        <f>CH247-CG247</f>
        <v>8</v>
      </c>
      <c r="CI248" s="192">
        <f>CI247-CH247</f>
        <v>11</v>
      </c>
      <c r="CJ248" s="191">
        <f>CJ247-CE247</f>
        <v>26</v>
      </c>
      <c r="CK248" s="192">
        <f>CK247-CJ247</f>
        <v>1</v>
      </c>
      <c r="CL248" s="192">
        <f>CL247-CK247</f>
        <v>8</v>
      </c>
      <c r="CM248" s="192">
        <f>CM247-CL247</f>
        <v>9</v>
      </c>
      <c r="CN248" s="192">
        <f>CN247-CM247</f>
        <v>11</v>
      </c>
      <c r="CO248" s="191">
        <f>CO247-CJ247</f>
        <v>29</v>
      </c>
      <c r="CP248" s="319">
        <f>CP247-CO247</f>
        <v>2</v>
      </c>
      <c r="CQ248" s="319">
        <f>CQ247-CP247</f>
        <v>6</v>
      </c>
      <c r="CR248" s="319">
        <f>CR247-CQ247</f>
        <v>7</v>
      </c>
      <c r="CS248" s="319">
        <f>CS247-CR247</f>
        <v>13</v>
      </c>
      <c r="CT248" s="320">
        <f>CT247-CO247</f>
        <v>28</v>
      </c>
      <c r="CU248" s="319">
        <f>CU247-CT247</f>
        <v>0</v>
      </c>
      <c r="CV248" s="319">
        <f>CV247-CU247</f>
        <v>5</v>
      </c>
      <c r="CW248" s="319">
        <f>CW247-CV247</f>
        <v>6</v>
      </c>
      <c r="CX248" s="319">
        <f t="shared" ref="CX248" si="1260">CX247-CW247</f>
        <v>13</v>
      </c>
      <c r="CY248" s="320">
        <f>CY247-CT247</f>
        <v>24</v>
      </c>
      <c r="CZ248" s="319">
        <f>CZ247-CY247</f>
        <v>3</v>
      </c>
      <c r="DA248" s="319">
        <f t="shared" ref="DA248:DC248" si="1261">DA247-CZ247</f>
        <v>5</v>
      </c>
      <c r="DB248" s="319">
        <f t="shared" si="1261"/>
        <v>6</v>
      </c>
      <c r="DC248" s="319">
        <f t="shared" si="1261"/>
        <v>7</v>
      </c>
      <c r="DD248" s="320">
        <f>DD247-CY247</f>
        <v>21</v>
      </c>
      <c r="DE248" s="359">
        <f>DE247-DD247</f>
        <v>1</v>
      </c>
      <c r="DF248" s="319">
        <f t="shared" ref="DF248" si="1262">DF247-DE247</f>
        <v>1</v>
      </c>
      <c r="DG248" s="319">
        <f t="shared" ref="DG248:DH248" si="1263">DG247-DF247</f>
        <v>7</v>
      </c>
      <c r="DH248" s="319">
        <f t="shared" si="1263"/>
        <v>8</v>
      </c>
      <c r="DI248" s="320">
        <f>DI247-DD247</f>
        <v>17</v>
      </c>
      <c r="DJ248" s="319">
        <f>DJ247-DI247</f>
        <v>1</v>
      </c>
      <c r="DK248" s="319">
        <f t="shared" ref="DK248" si="1264">DK247-DJ247</f>
        <v>4</v>
      </c>
      <c r="DL248" s="319">
        <f t="shared" ref="DL248" si="1265">DL247-DK247</f>
        <v>4</v>
      </c>
      <c r="DM248" s="319">
        <f t="shared" ref="DM248" si="1266">DM247-DL247</f>
        <v>8</v>
      </c>
      <c r="DN248" s="320">
        <f>DN247-DI247</f>
        <v>17</v>
      </c>
      <c r="DO248" s="319">
        <f>DO247-DN247</f>
        <v>1</v>
      </c>
      <c r="DP248" s="319">
        <f t="shared" ref="DP248" si="1267">DP247-DO247</f>
        <v>4</v>
      </c>
      <c r="DQ248" s="319">
        <f t="shared" ref="DQ248" si="1268">DQ247-DP247</f>
        <v>4</v>
      </c>
      <c r="DR248" s="319">
        <f t="shared" ref="DR248" si="1269">DR247-DQ247</f>
        <v>8</v>
      </c>
      <c r="DS248" s="320">
        <f>DS247-DN247</f>
        <v>17</v>
      </c>
    </row>
    <row r="249" s="3" customFormat="1" spans="2:123">
      <c r="B249" s="130" t="s">
        <v>394</v>
      </c>
      <c r="C249" s="284"/>
      <c r="D249" s="189"/>
      <c r="E249" s="189"/>
      <c r="F249" s="189"/>
      <c r="G249" s="189"/>
      <c r="H249" s="188"/>
      <c r="I249" s="189"/>
      <c r="J249" s="189"/>
      <c r="K249" s="189"/>
      <c r="L249" s="189"/>
      <c r="M249" s="188"/>
      <c r="N249" s="189"/>
      <c r="O249" s="189"/>
      <c r="P249" s="189"/>
      <c r="Q249" s="189"/>
      <c r="R249" s="188"/>
      <c r="S249" s="189"/>
      <c r="T249" s="189"/>
      <c r="U249" s="189"/>
      <c r="V249" s="189"/>
      <c r="W249" s="188"/>
      <c r="X249" s="189"/>
      <c r="Y249" s="189"/>
      <c r="Z249" s="195"/>
      <c r="AA249" s="195"/>
      <c r="AB249" s="188"/>
      <c r="AC249" s="195"/>
      <c r="AD249" s="195"/>
      <c r="AE249" s="195"/>
      <c r="AF249" s="195"/>
      <c r="AG249" s="194"/>
      <c r="AH249" s="195"/>
      <c r="AI249" s="195"/>
      <c r="AJ249" s="195"/>
      <c r="AK249" s="195"/>
      <c r="AL249" s="194"/>
      <c r="AM249" s="195"/>
      <c r="AN249" s="195"/>
      <c r="AO249" s="195"/>
      <c r="AP249" s="195"/>
      <c r="AQ249" s="194"/>
      <c r="AR249" s="195"/>
      <c r="AS249" s="195"/>
      <c r="AT249" s="195"/>
      <c r="AU249" s="195"/>
      <c r="AV249" s="194"/>
      <c r="AW249" s="195"/>
      <c r="AX249" s="195"/>
      <c r="AY249" s="195"/>
      <c r="AZ249" s="195"/>
      <c r="BA249" s="194"/>
      <c r="BB249" s="195"/>
      <c r="BC249" s="195"/>
      <c r="BD249" s="195"/>
      <c r="BE249" s="195"/>
      <c r="BF249" s="194"/>
      <c r="BG249" s="195"/>
      <c r="BH249" s="195"/>
      <c r="BI249" s="195"/>
      <c r="BJ249" s="195"/>
      <c r="BK249" s="194"/>
      <c r="BL249" s="195">
        <f>AVERAGE(BK247:BL247)</f>
        <v>3.5</v>
      </c>
      <c r="BM249" s="195">
        <f>AVERAGE(BL247:BM247)</f>
        <v>4.5</v>
      </c>
      <c r="BN249" s="195">
        <f>AVERAGE(BM247:BN247)</f>
        <v>5.5</v>
      </c>
      <c r="BO249" s="195">
        <f>AVERAGE(BN247:BO247)</f>
        <v>8.5</v>
      </c>
      <c r="BP249" s="194">
        <f>AVERAGE(BL247:BO247)</f>
        <v>6.5</v>
      </c>
      <c r="BQ249" s="195">
        <f>AVERAGE(BP247:BQ247)</f>
        <v>11.5</v>
      </c>
      <c r="BR249" s="195">
        <f>AVERAGE(BQ247:BR247)</f>
        <v>12</v>
      </c>
      <c r="BS249" s="195">
        <f>AVERAGE(BR247:BS247)</f>
        <v>12.5</v>
      </c>
      <c r="BT249" s="195">
        <f>AVERAGE(BS247:BT247)</f>
        <v>14</v>
      </c>
      <c r="BU249" s="194">
        <f>AVERAGE(BQ247:BT247)</f>
        <v>13</v>
      </c>
      <c r="BV249" s="195">
        <f>AVERAGE(BU247:BV247)</f>
        <v>17</v>
      </c>
      <c r="BW249" s="195">
        <f>AVERAGE(BV247:BW247)</f>
        <v>19.5</v>
      </c>
      <c r="BX249" s="195">
        <f>AVERAGE(BW247:BX247)</f>
        <v>22.5</v>
      </c>
      <c r="BY249" s="195">
        <f>AVERAGE(BX247:BY247)</f>
        <v>27</v>
      </c>
      <c r="BZ249" s="194">
        <f>AVERAGE(BV247:BY247)</f>
        <v>23.25</v>
      </c>
      <c r="CA249" s="195">
        <f>AVERAGE(BZ247:CA247)</f>
        <v>30</v>
      </c>
      <c r="CB249" s="195">
        <f>AVERAGE(CA247:CB247)</f>
        <v>34</v>
      </c>
      <c r="CC249" s="195">
        <f>AVERAGE(CB247:CC247)</f>
        <v>38</v>
      </c>
      <c r="CD249" s="195">
        <f>AVERAGE(CC247:CD247)</f>
        <v>41.5</v>
      </c>
      <c r="CE249" s="194">
        <f>AVERAGE(CA247:CD247)</f>
        <v>37.75</v>
      </c>
      <c r="CF249" s="195">
        <f>AVERAGE(CE247:CF247)</f>
        <v>44.5</v>
      </c>
      <c r="CG249" s="195">
        <f>AVERAGE(CF247:CG247)</f>
        <v>48</v>
      </c>
      <c r="CH249" s="195">
        <f>AVERAGE(CG247:CH247)</f>
        <v>55</v>
      </c>
      <c r="CI249" s="195">
        <f>AVERAGE(CH247:CI247)</f>
        <v>64.5</v>
      </c>
      <c r="CJ249" s="194">
        <f>AVERAGE(CF247:CI247)</f>
        <v>56.25</v>
      </c>
      <c r="CK249" s="195">
        <f>AVERAGE(CJ247:CK247)</f>
        <v>70.5</v>
      </c>
      <c r="CL249" s="195">
        <f>AVERAGE(CK247:CL247)</f>
        <v>75</v>
      </c>
      <c r="CM249" s="195">
        <f>AVERAGE(CL247:CM247)</f>
        <v>83.5</v>
      </c>
      <c r="CN249" s="195">
        <f>AVERAGE(CM247:CN247)</f>
        <v>93.5</v>
      </c>
      <c r="CO249" s="194">
        <f>AVERAGE(CK247:CN247)</f>
        <v>84.25</v>
      </c>
      <c r="CP249" s="240">
        <f>AVERAGE(CO247:CP247)</f>
        <v>100</v>
      </c>
      <c r="CQ249" s="240">
        <f>AVERAGE(CP247:CQ247)</f>
        <v>104</v>
      </c>
      <c r="CR249" s="240">
        <f>AVERAGE(CQ247:CR247)</f>
        <v>110.5</v>
      </c>
      <c r="CS249" s="240">
        <f>AVERAGE(CR247:CS247)</f>
        <v>120.5</v>
      </c>
      <c r="CT249" s="241">
        <f>AVERAGE(CP247:CS247)</f>
        <v>112.25</v>
      </c>
      <c r="CU249" s="240">
        <f>AVERAGE(CT247:CU247)</f>
        <v>127</v>
      </c>
      <c r="CV249" s="240">
        <f>AVERAGE(CU247:CV247)</f>
        <v>129.5</v>
      </c>
      <c r="CW249" s="240">
        <f>AVERAGE(CV247:CW247)</f>
        <v>135</v>
      </c>
      <c r="CX249" s="240">
        <f t="shared" ref="CX249" si="1270">AVERAGE(CW247:CX247)</f>
        <v>144.5</v>
      </c>
      <c r="CY249" s="241">
        <f>AVERAGE(CU247:CX247)</f>
        <v>137</v>
      </c>
      <c r="CZ249" s="240">
        <f>AVERAGE(CY247:CZ247)</f>
        <v>152.5</v>
      </c>
      <c r="DA249" s="240">
        <f>AVERAGE(CZ247:DA247)</f>
        <v>156.5</v>
      </c>
      <c r="DB249" s="240">
        <f>AVERAGE(DA247:DB247)</f>
        <v>162</v>
      </c>
      <c r="DC249" s="240">
        <f>AVERAGE(DB247:DC247)</f>
        <v>168.5</v>
      </c>
      <c r="DD249" s="241">
        <f>AVERAGE(CZ247:DC247)</f>
        <v>162.5</v>
      </c>
      <c r="DE249" s="360">
        <f>AVERAGE(DD247:DE247)</f>
        <v>172.5</v>
      </c>
      <c r="DF249" s="240">
        <f>AVERAGE(DE247:DF247)</f>
        <v>173.5</v>
      </c>
      <c r="DG249" s="240">
        <f t="shared" ref="DG249:DH249" si="1271">AVERAGE(DF247:DG247)</f>
        <v>177.5</v>
      </c>
      <c r="DH249" s="240">
        <f t="shared" si="1271"/>
        <v>185</v>
      </c>
      <c r="DI249" s="241">
        <f>AVERAGE(DE247:DH247)</f>
        <v>179.25</v>
      </c>
      <c r="DJ249" s="240">
        <f>AVERAGE(DI247:DJ247)</f>
        <v>189.5</v>
      </c>
      <c r="DK249" s="240">
        <f t="shared" ref="DK249" si="1272">AVERAGE(DJ247:DK247)</f>
        <v>192</v>
      </c>
      <c r="DL249" s="240">
        <f t="shared" ref="DL249" si="1273">AVERAGE(DK247:DL247)</f>
        <v>196</v>
      </c>
      <c r="DM249" s="240">
        <f t="shared" ref="DM249" si="1274">AVERAGE(DL247:DM247)</f>
        <v>202</v>
      </c>
      <c r="DN249" s="241">
        <f>AVERAGE(DJ247:DM247)</f>
        <v>197</v>
      </c>
      <c r="DO249" s="240">
        <f>AVERAGE(DN247:DO247)</f>
        <v>206.5</v>
      </c>
      <c r="DP249" s="240">
        <f t="shared" ref="DP249" si="1275">AVERAGE(DO247:DP247)</f>
        <v>209</v>
      </c>
      <c r="DQ249" s="240">
        <f t="shared" ref="DQ249" si="1276">AVERAGE(DP247:DQ247)</f>
        <v>213</v>
      </c>
      <c r="DR249" s="240">
        <f t="shared" ref="DR249" si="1277">AVERAGE(DQ247:DR247)</f>
        <v>219</v>
      </c>
      <c r="DS249" s="241">
        <f>AVERAGE(DO247:DR247)</f>
        <v>214</v>
      </c>
    </row>
    <row r="250" s="3" customFormat="1" spans="2:123">
      <c r="B250" s="144" t="s">
        <v>370</v>
      </c>
      <c r="C250" s="284"/>
      <c r="D250" s="189"/>
      <c r="E250" s="189"/>
      <c r="F250" s="189"/>
      <c r="G250" s="189"/>
      <c r="H250" s="188"/>
      <c r="I250" s="189"/>
      <c r="J250" s="189"/>
      <c r="K250" s="189"/>
      <c r="L250" s="189"/>
      <c r="M250" s="188"/>
      <c r="N250" s="189"/>
      <c r="O250" s="189"/>
      <c r="P250" s="189"/>
      <c r="Q250" s="189"/>
      <c r="R250" s="188"/>
      <c r="S250" s="189"/>
      <c r="T250" s="189"/>
      <c r="U250" s="189"/>
      <c r="V250" s="189"/>
      <c r="W250" s="188"/>
      <c r="X250" s="189"/>
      <c r="Y250" s="189"/>
      <c r="Z250" s="195"/>
      <c r="AA250" s="195"/>
      <c r="AB250" s="188"/>
      <c r="AC250" s="195"/>
      <c r="AD250" s="195"/>
      <c r="AE250" s="195"/>
      <c r="AF250" s="195"/>
      <c r="AG250" s="194"/>
      <c r="AH250" s="195"/>
      <c r="AI250" s="195"/>
      <c r="AJ250" s="195"/>
      <c r="AK250" s="195"/>
      <c r="AL250" s="194"/>
      <c r="AM250" s="195"/>
      <c r="AN250" s="195"/>
      <c r="AO250" s="195"/>
      <c r="AP250" s="195"/>
      <c r="AQ250" s="194"/>
      <c r="AR250" s="195"/>
      <c r="AS250" s="195"/>
      <c r="AT250" s="195"/>
      <c r="AU250" s="195"/>
      <c r="AV250" s="194"/>
      <c r="AW250" s="195"/>
      <c r="AX250" s="195"/>
      <c r="AY250" s="195"/>
      <c r="AZ250" s="195"/>
      <c r="BA250" s="194"/>
      <c r="BB250" s="195"/>
      <c r="BC250" s="195"/>
      <c r="BD250" s="195"/>
      <c r="BE250" s="195"/>
      <c r="BF250" s="194"/>
      <c r="BG250" s="195"/>
      <c r="BH250" s="195"/>
      <c r="BI250" s="195"/>
      <c r="BJ250" s="195"/>
      <c r="BK250" s="194"/>
      <c r="BL250" s="141"/>
      <c r="BM250" s="141"/>
      <c r="BN250" s="141"/>
      <c r="BO250" s="141"/>
      <c r="BP250" s="140"/>
      <c r="BQ250" s="141">
        <f t="shared" ref="BQ250" si="1278">BQ249/BL249-1</f>
        <v>2.28571428571429</v>
      </c>
      <c r="BR250" s="141">
        <f t="shared" ref="BR250" si="1279">BR249/BM249-1</f>
        <v>1.66666666666667</v>
      </c>
      <c r="BS250" s="141">
        <f t="shared" ref="BS250" si="1280">BS249/BN249-1</f>
        <v>1.27272727272727</v>
      </c>
      <c r="BT250" s="141">
        <f t="shared" ref="BT250" si="1281">BT249/BO249-1</f>
        <v>0.647058823529412</v>
      </c>
      <c r="BU250" s="140">
        <f t="shared" ref="BU250" si="1282">BU249/BP249-1</f>
        <v>1</v>
      </c>
      <c r="BV250" s="141">
        <f t="shared" ref="BV250" si="1283">BV249/BQ249-1</f>
        <v>0.478260869565217</v>
      </c>
      <c r="BW250" s="141">
        <f t="shared" ref="BW250" si="1284">BW249/BR249-1</f>
        <v>0.625</v>
      </c>
      <c r="BX250" s="141">
        <f t="shared" ref="BX250" si="1285">BX249/BS249-1</f>
        <v>0.8</v>
      </c>
      <c r="BY250" s="141">
        <f t="shared" ref="BY250" si="1286">BY249/BT249-1</f>
        <v>0.928571428571429</v>
      </c>
      <c r="BZ250" s="140">
        <f t="shared" ref="BZ250" si="1287">BZ249/BU249-1</f>
        <v>0.788461538461539</v>
      </c>
      <c r="CA250" s="141">
        <f t="shared" ref="CA250" si="1288">CA249/BV249-1</f>
        <v>0.764705882352941</v>
      </c>
      <c r="CB250" s="141">
        <f t="shared" ref="CB250" si="1289">CB249/BW249-1</f>
        <v>0.743589743589744</v>
      </c>
      <c r="CC250" s="141">
        <f t="shared" ref="CC250" si="1290">CC249/BX249-1</f>
        <v>0.688888888888889</v>
      </c>
      <c r="CD250" s="141">
        <f t="shared" ref="CD250" si="1291">CD249/BY249-1</f>
        <v>0.537037037037037</v>
      </c>
      <c r="CE250" s="140">
        <f t="shared" ref="CE250" si="1292">CE249/BZ249-1</f>
        <v>0.623655913978495</v>
      </c>
      <c r="CF250" s="141">
        <f t="shared" ref="CF250" si="1293">CF249/CA249-1</f>
        <v>0.483333333333333</v>
      </c>
      <c r="CG250" s="141">
        <f t="shared" ref="CG250" si="1294">CG249/CB249-1</f>
        <v>0.411764705882353</v>
      </c>
      <c r="CH250" s="141">
        <f t="shared" ref="CH250" si="1295">CH249/CC249-1</f>
        <v>0.447368421052632</v>
      </c>
      <c r="CI250" s="141">
        <f t="shared" ref="CI250" si="1296">CI249/CD249-1</f>
        <v>0.55421686746988</v>
      </c>
      <c r="CJ250" s="140">
        <f t="shared" ref="CJ250" si="1297">CJ249/CE249-1</f>
        <v>0.490066225165563</v>
      </c>
      <c r="CK250" s="141">
        <f t="shared" ref="CK250:DI250" si="1298">CK249/CF249-1</f>
        <v>0.584269662921348</v>
      </c>
      <c r="CL250" s="141">
        <f t="shared" si="1298"/>
        <v>0.5625</v>
      </c>
      <c r="CM250" s="141">
        <f t="shared" si="1298"/>
        <v>0.518181818181818</v>
      </c>
      <c r="CN250" s="141">
        <f t="shared" si="1298"/>
        <v>0.449612403100775</v>
      </c>
      <c r="CO250" s="140">
        <f t="shared" si="1298"/>
        <v>0.497777777777778</v>
      </c>
      <c r="CP250" s="141">
        <f t="shared" si="1298"/>
        <v>0.418439716312057</v>
      </c>
      <c r="CQ250" s="141">
        <f t="shared" si="1298"/>
        <v>0.386666666666667</v>
      </c>
      <c r="CR250" s="141">
        <f t="shared" si="1298"/>
        <v>0.323353293413174</v>
      </c>
      <c r="CS250" s="141">
        <f t="shared" si="1298"/>
        <v>0.288770053475936</v>
      </c>
      <c r="CT250" s="140">
        <f t="shared" si="1298"/>
        <v>0.332344213649852</v>
      </c>
      <c r="CU250" s="141">
        <f t="shared" si="1298"/>
        <v>0.27</v>
      </c>
      <c r="CV250" s="141">
        <f t="shared" si="1298"/>
        <v>0.245192307692308</v>
      </c>
      <c r="CW250" s="141">
        <f t="shared" si="1298"/>
        <v>0.221719457013575</v>
      </c>
      <c r="CX250" s="141">
        <f t="shared" si="1298"/>
        <v>0.199170124481328</v>
      </c>
      <c r="CY250" s="140">
        <f t="shared" si="1298"/>
        <v>0.220489977728285</v>
      </c>
      <c r="CZ250" s="141">
        <f t="shared" si="1298"/>
        <v>0.200787401574803</v>
      </c>
      <c r="DA250" s="141">
        <f t="shared" si="1298"/>
        <v>0.208494208494209</v>
      </c>
      <c r="DB250" s="141">
        <f t="shared" si="1298"/>
        <v>0.2</v>
      </c>
      <c r="DC250" s="141">
        <f t="shared" si="1298"/>
        <v>0.166089965397924</v>
      </c>
      <c r="DD250" s="140">
        <f t="shared" si="1298"/>
        <v>0.186131386861314</v>
      </c>
      <c r="DE250" s="142">
        <f t="shared" si="1298"/>
        <v>0.131147540983606</v>
      </c>
      <c r="DF250" s="141">
        <f t="shared" si="1298"/>
        <v>0.108626198083067</v>
      </c>
      <c r="DG250" s="141">
        <f t="shared" si="1298"/>
        <v>0.095679012345679</v>
      </c>
      <c r="DH250" s="141">
        <f t="shared" si="1298"/>
        <v>0.0979228486646884</v>
      </c>
      <c r="DI250" s="140">
        <f t="shared" si="1298"/>
        <v>0.103076923076923</v>
      </c>
      <c r="DJ250" s="141">
        <f t="shared" ref="DJ250" si="1299">DJ249/DE249-1</f>
        <v>0.0985507246376811</v>
      </c>
      <c r="DK250" s="141">
        <f t="shared" ref="DK250" si="1300">DK249/DF249-1</f>
        <v>0.106628242074928</v>
      </c>
      <c r="DL250" s="141">
        <f t="shared" ref="DL250" si="1301">DL249/DG249-1</f>
        <v>0.104225352112676</v>
      </c>
      <c r="DM250" s="141">
        <f t="shared" ref="DM250" si="1302">DM249/DH249-1</f>
        <v>0.0918918918918918</v>
      </c>
      <c r="DN250" s="140">
        <f t="shared" ref="DN250" si="1303">DN249/DI249-1</f>
        <v>0.099023709902371</v>
      </c>
      <c r="DO250" s="141">
        <f t="shared" ref="DO250" si="1304">DO249/DJ249-1</f>
        <v>0.0897097625329815</v>
      </c>
      <c r="DP250" s="141">
        <f t="shared" ref="DP250" si="1305">DP249/DK249-1</f>
        <v>0.0885416666666667</v>
      </c>
      <c r="DQ250" s="141">
        <f t="shared" ref="DQ250" si="1306">DQ249/DL249-1</f>
        <v>0.0867346938775511</v>
      </c>
      <c r="DR250" s="141">
        <f t="shared" ref="DR250" si="1307">DR249/DM249-1</f>
        <v>0.0841584158415842</v>
      </c>
      <c r="DS250" s="140">
        <f t="shared" ref="DS250" si="1308">DS249/DN249-1</f>
        <v>0.0862944162436547</v>
      </c>
    </row>
    <row r="251" s="3" customFormat="1" spans="2:123">
      <c r="B251" s="321"/>
      <c r="C251" s="322"/>
      <c r="D251" s="323"/>
      <c r="E251" s="323"/>
      <c r="F251" s="323"/>
      <c r="G251" s="323"/>
      <c r="H251" s="324"/>
      <c r="I251" s="323"/>
      <c r="J251" s="323"/>
      <c r="K251" s="323"/>
      <c r="L251" s="323"/>
      <c r="M251" s="324"/>
      <c r="N251" s="323"/>
      <c r="O251" s="323"/>
      <c r="P251" s="323"/>
      <c r="Q251" s="323"/>
      <c r="R251" s="324"/>
      <c r="S251" s="323"/>
      <c r="T251" s="323"/>
      <c r="U251" s="323"/>
      <c r="V251" s="323"/>
      <c r="W251" s="324"/>
      <c r="X251" s="323"/>
      <c r="Y251" s="323"/>
      <c r="Z251" s="325"/>
      <c r="AA251" s="325"/>
      <c r="AB251" s="324"/>
      <c r="AC251" s="325"/>
      <c r="AD251" s="325"/>
      <c r="AE251" s="325"/>
      <c r="AF251" s="325"/>
      <c r="AG251" s="326"/>
      <c r="AH251" s="325"/>
      <c r="AI251" s="325"/>
      <c r="AJ251" s="325"/>
      <c r="AK251" s="325"/>
      <c r="AL251" s="326"/>
      <c r="AM251" s="325"/>
      <c r="AN251" s="325"/>
      <c r="AO251" s="325"/>
      <c r="AP251" s="325"/>
      <c r="AQ251" s="326"/>
      <c r="AR251" s="325"/>
      <c r="AS251" s="325"/>
      <c r="AT251" s="325"/>
      <c r="AU251" s="325"/>
      <c r="AV251" s="326"/>
      <c r="AW251" s="325"/>
      <c r="AX251" s="325"/>
      <c r="AY251" s="325"/>
      <c r="AZ251" s="325"/>
      <c r="BA251" s="326"/>
      <c r="BB251" s="325"/>
      <c r="BC251" s="325"/>
      <c r="BD251" s="325"/>
      <c r="BE251" s="325"/>
      <c r="BF251" s="326"/>
      <c r="BG251" s="325"/>
      <c r="BH251" s="325"/>
      <c r="BI251" s="325"/>
      <c r="BJ251" s="325"/>
      <c r="BK251" s="326"/>
      <c r="BL251" s="325"/>
      <c r="BM251" s="325"/>
      <c r="BN251" s="325"/>
      <c r="BO251" s="325"/>
      <c r="BP251" s="326"/>
      <c r="BQ251" s="325"/>
      <c r="BR251" s="325"/>
      <c r="BS251" s="325"/>
      <c r="BT251" s="327"/>
      <c r="BU251" s="328"/>
      <c r="BV251" s="327"/>
      <c r="BW251" s="327"/>
      <c r="BX251" s="327"/>
      <c r="BY251" s="323"/>
      <c r="BZ251" s="324"/>
      <c r="CA251" s="323"/>
      <c r="CB251" s="323"/>
      <c r="CC251" s="323"/>
      <c r="CD251" s="323"/>
      <c r="CE251" s="324"/>
      <c r="CF251" s="323"/>
      <c r="CG251" s="323"/>
      <c r="CH251" s="323"/>
      <c r="CI251" s="323"/>
      <c r="CJ251" s="324"/>
      <c r="CK251" s="323"/>
      <c r="CL251" s="323"/>
      <c r="CM251" s="323"/>
      <c r="CN251" s="323"/>
      <c r="CO251" s="324"/>
      <c r="CP251" s="323"/>
      <c r="CQ251" s="323"/>
      <c r="CR251" s="323"/>
      <c r="CS251" s="323"/>
      <c r="CT251" s="324"/>
      <c r="CU251" s="323"/>
      <c r="CV251" s="323"/>
      <c r="CW251" s="323"/>
      <c r="CX251" s="323"/>
      <c r="CY251" s="324"/>
      <c r="CZ251" s="323"/>
      <c r="DA251" s="323"/>
      <c r="DB251" s="323"/>
      <c r="DC251" s="323"/>
      <c r="DD251" s="324"/>
      <c r="DE251" s="323"/>
      <c r="DF251" s="323"/>
      <c r="DG251" s="323"/>
      <c r="DH251" s="323"/>
      <c r="DI251" s="324"/>
      <c r="DJ251" s="323"/>
      <c r="DK251" s="323"/>
      <c r="DL251" s="323"/>
      <c r="DM251" s="323"/>
      <c r="DN251" s="324"/>
      <c r="DO251" s="323"/>
      <c r="DP251" s="323"/>
      <c r="DQ251" s="323"/>
      <c r="DR251" s="323"/>
      <c r="DS251" s="324"/>
    </row>
    <row r="252" s="3" customFormat="1" spans="2:123">
      <c r="B252" s="130"/>
      <c r="C252" s="284"/>
      <c r="D252" s="189"/>
      <c r="E252" s="189"/>
      <c r="F252" s="189"/>
      <c r="G252" s="189"/>
      <c r="H252" s="188"/>
      <c r="I252" s="189"/>
      <c r="J252" s="189"/>
      <c r="K252" s="189"/>
      <c r="L252" s="189"/>
      <c r="M252" s="188"/>
      <c r="N252" s="189"/>
      <c r="O252" s="189"/>
      <c r="P252" s="189"/>
      <c r="Q252" s="189"/>
      <c r="R252" s="188"/>
      <c r="S252" s="189"/>
      <c r="T252" s="189"/>
      <c r="U252" s="189"/>
      <c r="V252" s="189"/>
      <c r="W252" s="188"/>
      <c r="X252" s="189"/>
      <c r="Y252" s="189"/>
      <c r="Z252" s="195"/>
      <c r="AA252" s="195"/>
      <c r="AB252" s="188"/>
      <c r="AC252" s="195"/>
      <c r="AD252" s="195"/>
      <c r="AE252" s="195"/>
      <c r="AF252" s="195"/>
      <c r="AG252" s="194"/>
      <c r="AH252" s="195"/>
      <c r="AI252" s="195"/>
      <c r="AJ252" s="195"/>
      <c r="AK252" s="195"/>
      <c r="AL252" s="194"/>
      <c r="AM252" s="195"/>
      <c r="AN252" s="195"/>
      <c r="AO252" s="195"/>
      <c r="AP252" s="195"/>
      <c r="AQ252" s="194"/>
      <c r="AR252" s="195"/>
      <c r="AS252" s="195"/>
      <c r="AT252" s="195"/>
      <c r="AU252" s="195"/>
      <c r="AV252" s="194"/>
      <c r="AW252" s="195"/>
      <c r="AX252" s="195"/>
      <c r="AY252" s="195"/>
      <c r="AZ252" s="195"/>
      <c r="BA252" s="194"/>
      <c r="BB252" s="195"/>
      <c r="BC252" s="195"/>
      <c r="BD252" s="195"/>
      <c r="BE252" s="195"/>
      <c r="BF252" s="194"/>
      <c r="BG252" s="195"/>
      <c r="BH252" s="195"/>
      <c r="BI252" s="195"/>
      <c r="BJ252" s="195"/>
      <c r="BK252" s="194"/>
      <c r="BL252" s="195"/>
      <c r="BM252" s="195"/>
      <c r="BN252" s="195"/>
      <c r="BO252" s="195"/>
      <c r="BP252" s="194"/>
      <c r="BQ252" s="195"/>
      <c r="BR252" s="195"/>
      <c r="BS252" s="195"/>
      <c r="BT252" s="120"/>
      <c r="BU252" s="119"/>
      <c r="BV252" s="120"/>
      <c r="BW252" s="120"/>
      <c r="BX252" s="120"/>
      <c r="BY252" s="189"/>
      <c r="BZ252" s="188"/>
      <c r="CA252" s="189"/>
      <c r="CB252" s="189"/>
      <c r="CC252" s="189"/>
      <c r="CD252" s="189"/>
      <c r="CE252" s="188"/>
      <c r="CF252" s="189"/>
      <c r="CG252" s="189"/>
      <c r="CH252" s="189"/>
      <c r="CI252" s="189"/>
      <c r="CJ252" s="188"/>
      <c r="CK252" s="189"/>
      <c r="CL252" s="189"/>
      <c r="CM252" s="189"/>
      <c r="CN252" s="189"/>
      <c r="CO252" s="188"/>
      <c r="CP252" s="189"/>
      <c r="CQ252" s="189"/>
      <c r="CR252" s="189"/>
      <c r="CS252" s="189"/>
      <c r="CT252" s="188"/>
      <c r="CU252" s="189"/>
      <c r="CV252" s="189"/>
      <c r="CW252" s="189"/>
      <c r="CX252" s="189"/>
      <c r="CY252" s="188"/>
      <c r="CZ252" s="189"/>
      <c r="DA252" s="189"/>
      <c r="DB252" s="189"/>
      <c r="DC252" s="189"/>
      <c r="DD252" s="188"/>
      <c r="DE252" s="189"/>
      <c r="DF252" s="189"/>
      <c r="DG252" s="189"/>
      <c r="DH252" s="189"/>
      <c r="DI252" s="188"/>
      <c r="DJ252" s="189"/>
      <c r="DK252" s="189"/>
      <c r="DL252" s="189"/>
      <c r="DM252" s="189"/>
      <c r="DN252" s="188"/>
      <c r="DO252" s="189"/>
      <c r="DP252" s="189"/>
      <c r="DQ252" s="189"/>
      <c r="DR252" s="189"/>
      <c r="DS252" s="188"/>
    </row>
    <row r="253" s="3" customFormat="1" spans="2:123">
      <c r="B253" s="123" t="s">
        <v>318</v>
      </c>
      <c r="C253" s="284"/>
      <c r="D253" s="189"/>
      <c r="E253" s="189"/>
      <c r="F253" s="189"/>
      <c r="G253" s="189"/>
      <c r="H253" s="188"/>
      <c r="I253" s="189"/>
      <c r="J253" s="189"/>
      <c r="K253" s="189"/>
      <c r="L253" s="189"/>
      <c r="M253" s="188"/>
      <c r="N253" s="189"/>
      <c r="O253" s="189"/>
      <c r="P253" s="189"/>
      <c r="Q253" s="189"/>
      <c r="R253" s="188"/>
      <c r="S253" s="189"/>
      <c r="T253" s="189"/>
      <c r="U253" s="189"/>
      <c r="V253" s="189"/>
      <c r="W253" s="188"/>
      <c r="X253" s="189"/>
      <c r="Y253" s="189"/>
      <c r="Z253" s="195"/>
      <c r="AA253" s="195"/>
      <c r="AB253" s="188"/>
      <c r="AC253" s="195"/>
      <c r="AD253" s="195"/>
      <c r="AE253" s="195"/>
      <c r="AF253" s="195"/>
      <c r="AG253" s="194"/>
      <c r="AH253" s="195"/>
      <c r="AI253" s="195"/>
      <c r="AJ253" s="195"/>
      <c r="AK253" s="195"/>
      <c r="AL253" s="194"/>
      <c r="AM253" s="195"/>
      <c r="AN253" s="195"/>
      <c r="AO253" s="195"/>
      <c r="AP253" s="195"/>
      <c r="AQ253" s="194"/>
      <c r="AR253" s="195"/>
      <c r="AS253" s="195"/>
      <c r="AT253" s="195"/>
      <c r="AU253" s="195"/>
      <c r="AV253" s="194"/>
      <c r="AW253" s="195"/>
      <c r="AX253" s="195"/>
      <c r="AY253" s="195"/>
      <c r="AZ253" s="195"/>
      <c r="BA253" s="194"/>
      <c r="BB253" s="195"/>
      <c r="BC253" s="195"/>
      <c r="BD253" s="195"/>
      <c r="BE253" s="195"/>
      <c r="BF253" s="194"/>
      <c r="BG253" s="195"/>
      <c r="BH253" s="195"/>
      <c r="BI253" s="195"/>
      <c r="BJ253" s="195"/>
      <c r="BK253" s="194"/>
      <c r="BL253" s="195"/>
      <c r="BM253" s="195"/>
      <c r="BN253" s="195"/>
      <c r="BO253" s="195"/>
      <c r="BP253" s="194"/>
      <c r="BQ253" s="195"/>
      <c r="BR253" s="195"/>
      <c r="BS253" s="195"/>
      <c r="BT253" s="120"/>
      <c r="BU253" s="119"/>
      <c r="BV253" s="120"/>
      <c r="BW253" s="120"/>
      <c r="BX253" s="120"/>
      <c r="BY253" s="189"/>
      <c r="BZ253" s="188"/>
      <c r="CA253" s="189"/>
      <c r="CB253" s="189"/>
      <c r="CC253" s="189"/>
      <c r="CD253" s="189"/>
      <c r="CE253" s="188"/>
      <c r="CF253" s="189"/>
      <c r="CG253" s="189"/>
      <c r="CH253" s="189"/>
      <c r="CI253" s="189"/>
      <c r="CJ253" s="188"/>
      <c r="CK253" s="189"/>
      <c r="CL253" s="189"/>
      <c r="CM253" s="189"/>
      <c r="CN253" s="189"/>
      <c r="CO253" s="124">
        <v>-134.81</v>
      </c>
      <c r="CP253" s="189"/>
      <c r="CQ253" s="189"/>
      <c r="CR253" s="189"/>
      <c r="CS253" s="189"/>
      <c r="CT253" s="127">
        <v>-241.663</v>
      </c>
      <c r="CU253" s="126">
        <v>-68.675</v>
      </c>
      <c r="CV253" s="126">
        <v>-71.547</v>
      </c>
      <c r="CW253" s="126">
        <v>-73.164</v>
      </c>
      <c r="CX253" s="126">
        <f>CY253-CU253-CV253-CW253</f>
        <v>-110.851</v>
      </c>
      <c r="CY253" s="127">
        <v>-324.237</v>
      </c>
      <c r="CZ253" s="126">
        <v>-81.815</v>
      </c>
      <c r="DA253" s="126">
        <v>-92.219</v>
      </c>
      <c r="DB253" s="126">
        <v>-110.484</v>
      </c>
      <c r="DC253" s="126">
        <f>DD253-CZ253-DA253-DB253</f>
        <v>-129.986</v>
      </c>
      <c r="DD253" s="129">
        <f>-414.504</f>
        <v>-414.504</v>
      </c>
      <c r="DE253" s="126">
        <v>-100.558</v>
      </c>
      <c r="DF253" s="126">
        <v>-89.073</v>
      </c>
      <c r="DG253" s="126"/>
      <c r="DH253" s="126"/>
      <c r="DI253" s="127"/>
      <c r="DJ253" s="126"/>
      <c r="DK253" s="126"/>
      <c r="DL253" s="126"/>
      <c r="DM253" s="126"/>
      <c r="DN253" s="127"/>
      <c r="DO253" s="126"/>
      <c r="DP253" s="126"/>
      <c r="DQ253" s="126"/>
      <c r="DR253" s="126"/>
      <c r="DS253" s="127"/>
    </row>
    <row r="254" s="3" customFormat="1" spans="2:123">
      <c r="B254" s="225" t="s">
        <v>370</v>
      </c>
      <c r="C254" s="284"/>
      <c r="D254" s="189"/>
      <c r="E254" s="189"/>
      <c r="F254" s="189"/>
      <c r="G254" s="189"/>
      <c r="H254" s="188"/>
      <c r="I254" s="189"/>
      <c r="J254" s="189"/>
      <c r="K254" s="189"/>
      <c r="L254" s="189"/>
      <c r="M254" s="188"/>
      <c r="N254" s="189"/>
      <c r="O254" s="189"/>
      <c r="P254" s="189"/>
      <c r="Q254" s="189"/>
      <c r="R254" s="188"/>
      <c r="S254" s="189"/>
      <c r="T254" s="189"/>
      <c r="U254" s="189"/>
      <c r="V254" s="189"/>
      <c r="W254" s="188"/>
      <c r="X254" s="189"/>
      <c r="Y254" s="189"/>
      <c r="Z254" s="195"/>
      <c r="AA254" s="195"/>
      <c r="AB254" s="188"/>
      <c r="AC254" s="195"/>
      <c r="AD254" s="195"/>
      <c r="AE254" s="195"/>
      <c r="AF254" s="195"/>
      <c r="AG254" s="194"/>
      <c r="AH254" s="195"/>
      <c r="AI254" s="195"/>
      <c r="AJ254" s="195"/>
      <c r="AK254" s="195"/>
      <c r="AL254" s="194"/>
      <c r="AM254" s="195"/>
      <c r="AN254" s="195"/>
      <c r="AO254" s="195"/>
      <c r="AP254" s="195"/>
      <c r="AQ254" s="194"/>
      <c r="AR254" s="195"/>
      <c r="AS254" s="195"/>
      <c r="AT254" s="195"/>
      <c r="AU254" s="195"/>
      <c r="AV254" s="194"/>
      <c r="AW254" s="195"/>
      <c r="AX254" s="195"/>
      <c r="AY254" s="195"/>
      <c r="AZ254" s="195"/>
      <c r="BA254" s="194"/>
      <c r="BB254" s="195"/>
      <c r="BC254" s="195"/>
      <c r="BD254" s="195"/>
      <c r="BE254" s="195"/>
      <c r="BF254" s="194"/>
      <c r="BG254" s="195"/>
      <c r="BH254" s="195"/>
      <c r="BI254" s="195"/>
      <c r="BJ254" s="195"/>
      <c r="BK254" s="194"/>
      <c r="BL254" s="195"/>
      <c r="BM254" s="195"/>
      <c r="BN254" s="195"/>
      <c r="BO254" s="195"/>
      <c r="BP254" s="194"/>
      <c r="BQ254" s="195"/>
      <c r="BR254" s="195"/>
      <c r="BS254" s="195"/>
      <c r="BT254" s="120"/>
      <c r="BU254" s="119"/>
      <c r="BV254" s="120"/>
      <c r="BW254" s="120"/>
      <c r="BX254" s="120"/>
      <c r="BY254" s="189"/>
      <c r="BZ254" s="188"/>
      <c r="CA254" s="189"/>
      <c r="CB254" s="189"/>
      <c r="CC254" s="189"/>
      <c r="CD254" s="189"/>
      <c r="CE254" s="188"/>
      <c r="CF254" s="189"/>
      <c r="CG254" s="189"/>
      <c r="CH254" s="189"/>
      <c r="CI254" s="189"/>
      <c r="CJ254" s="188"/>
      <c r="CK254" s="189"/>
      <c r="CL254" s="189"/>
      <c r="CM254" s="189"/>
      <c r="CN254" s="189"/>
      <c r="CO254" s="140" t="s">
        <v>208</v>
      </c>
      <c r="CP254" s="189"/>
      <c r="CQ254" s="189"/>
      <c r="CR254" s="189"/>
      <c r="CS254" s="189"/>
      <c r="CT254" s="140">
        <f>CT253/CO253-1</f>
        <v>0.792619241896002</v>
      </c>
      <c r="CU254" s="291" t="s">
        <v>208</v>
      </c>
      <c r="CV254" s="291" t="s">
        <v>208</v>
      </c>
      <c r="CW254" s="291" t="s">
        <v>208</v>
      </c>
      <c r="CX254" s="291" t="s">
        <v>208</v>
      </c>
      <c r="CY254" s="140">
        <f t="shared" ref="CY254:DF254" si="1309">CY253/CT253-1</f>
        <v>0.341690701514092</v>
      </c>
      <c r="CZ254" s="291">
        <f t="shared" si="1309"/>
        <v>0.191336002912268</v>
      </c>
      <c r="DA254" s="291">
        <f t="shared" si="1309"/>
        <v>0.288928955791298</v>
      </c>
      <c r="DB254" s="291">
        <f t="shared" si="1309"/>
        <v>0.510086927997376</v>
      </c>
      <c r="DC254" s="310">
        <f t="shared" si="1309"/>
        <v>0.172619101316182</v>
      </c>
      <c r="DD254" s="140">
        <f t="shared" si="1309"/>
        <v>0.278398208717697</v>
      </c>
      <c r="DE254" s="291">
        <f t="shared" si="1309"/>
        <v>0.229090020167451</v>
      </c>
      <c r="DF254" s="291">
        <f t="shared" si="1309"/>
        <v>-0.0341144449625348</v>
      </c>
      <c r="DG254" s="291"/>
      <c r="DH254" s="291"/>
      <c r="DI254" s="140"/>
      <c r="DJ254" s="291"/>
      <c r="DK254" s="291"/>
      <c r="DL254" s="291"/>
      <c r="DM254" s="291"/>
      <c r="DN254" s="140"/>
      <c r="DO254" s="291"/>
      <c r="DP254" s="291"/>
      <c r="DQ254" s="291"/>
      <c r="DR254" s="291"/>
      <c r="DS254" s="140"/>
    </row>
    <row r="255" s="87" customFormat="1" spans="2:123">
      <c r="B255" s="221" t="s">
        <v>186</v>
      </c>
      <c r="C255" s="310"/>
      <c r="D255" s="141"/>
      <c r="E255" s="141"/>
      <c r="F255" s="141"/>
      <c r="G255" s="141"/>
      <c r="H255" s="140"/>
      <c r="I255" s="141"/>
      <c r="J255" s="141"/>
      <c r="K255" s="141"/>
      <c r="L255" s="141"/>
      <c r="M255" s="140"/>
      <c r="N255" s="141"/>
      <c r="O255" s="141"/>
      <c r="P255" s="141"/>
      <c r="Q255" s="141"/>
      <c r="R255" s="140"/>
      <c r="S255" s="141"/>
      <c r="T255" s="141"/>
      <c r="U255" s="141"/>
      <c r="V255" s="141"/>
      <c r="W255" s="140"/>
      <c r="X255" s="141"/>
      <c r="Y255" s="141"/>
      <c r="Z255" s="141"/>
      <c r="AA255" s="141"/>
      <c r="AB255" s="140"/>
      <c r="AC255" s="141"/>
      <c r="AD255" s="141"/>
      <c r="AE255" s="141"/>
      <c r="AF255" s="141"/>
      <c r="AG255" s="140"/>
      <c r="AH255" s="141"/>
      <c r="AI255" s="141"/>
      <c r="AJ255" s="141"/>
      <c r="AK255" s="141"/>
      <c r="AL255" s="140"/>
      <c r="AM255" s="141"/>
      <c r="AN255" s="141"/>
      <c r="AO255" s="141"/>
      <c r="AP255" s="141"/>
      <c r="AQ255" s="140"/>
      <c r="AR255" s="141"/>
      <c r="AS255" s="141"/>
      <c r="AT255" s="141"/>
      <c r="AU255" s="141"/>
      <c r="AV255" s="140"/>
      <c r="AW255" s="141"/>
      <c r="AX255" s="141"/>
      <c r="AY255" s="141"/>
      <c r="AZ255" s="141"/>
      <c r="BA255" s="140"/>
      <c r="BB255" s="141"/>
      <c r="BC255" s="141"/>
      <c r="BD255" s="141"/>
      <c r="BE255" s="141"/>
      <c r="BF255" s="140"/>
      <c r="BG255" s="141"/>
      <c r="BH255" s="141"/>
      <c r="BI255" s="141"/>
      <c r="BJ255" s="141"/>
      <c r="BK255" s="140"/>
      <c r="BL255" s="141"/>
      <c r="BM255" s="141"/>
      <c r="BN255" s="141"/>
      <c r="BO255" s="141"/>
      <c r="BP255" s="140"/>
      <c r="BQ255" s="141"/>
      <c r="BR255" s="141"/>
      <c r="BS255" s="141"/>
      <c r="BT255" s="141"/>
      <c r="BU255" s="140"/>
      <c r="BV255" s="141"/>
      <c r="BW255" s="141"/>
      <c r="BX255" s="141"/>
      <c r="BY255" s="141"/>
      <c r="BZ255" s="140"/>
      <c r="CA255" s="141"/>
      <c r="CB255" s="141"/>
      <c r="CC255" s="141"/>
      <c r="CD255" s="141"/>
      <c r="CE255" s="140"/>
      <c r="CF255" s="141"/>
      <c r="CG255" s="141"/>
      <c r="CH255" s="141"/>
      <c r="CI255" s="141"/>
      <c r="CJ255" s="140"/>
      <c r="CK255" s="141"/>
      <c r="CL255" s="141"/>
      <c r="CM255" s="141"/>
      <c r="CN255" s="141"/>
      <c r="CO255" s="140">
        <f>-CO253/CO236</f>
        <v>0.233840934045443</v>
      </c>
      <c r="CP255" s="141"/>
      <c r="CQ255" s="141"/>
      <c r="CR255" s="141"/>
      <c r="CS255" s="141"/>
      <c r="CT255" s="140">
        <f t="shared" ref="CT255:DF255" si="1310">-CT253/CT236</f>
        <v>0.25075018676849</v>
      </c>
      <c r="CU255" s="141">
        <f t="shared" si="1310"/>
        <v>0.226063742239603</v>
      </c>
      <c r="CV255" s="141">
        <f t="shared" si="1310"/>
        <v>0.22771962099246</v>
      </c>
      <c r="CW255" s="141">
        <f t="shared" si="1310"/>
        <v>0.229831185720838</v>
      </c>
      <c r="CX255" s="141">
        <f t="shared" si="1310"/>
        <v>0.260811154193646</v>
      </c>
      <c r="CY255" s="140">
        <f t="shared" si="1310"/>
        <v>0.238175411378667</v>
      </c>
      <c r="CZ255" s="141">
        <f t="shared" si="1310"/>
        <v>0.222262368208725</v>
      </c>
      <c r="DA255" s="141">
        <f t="shared" si="1310"/>
        <v>0.234714862381585</v>
      </c>
      <c r="DB255" s="141">
        <f t="shared" si="1310"/>
        <v>0.237415173563806</v>
      </c>
      <c r="DC255" s="310">
        <f t="shared" si="1310"/>
        <v>0.245981553181263</v>
      </c>
      <c r="DD255" s="140">
        <f t="shared" si="1310"/>
        <v>0.236211668686841</v>
      </c>
      <c r="DE255" s="141">
        <f t="shared" si="1310"/>
        <v>0.210198685186927</v>
      </c>
      <c r="DF255" s="141">
        <f t="shared" si="1310"/>
        <v>0.218801508247461</v>
      </c>
      <c r="DG255" s="141"/>
      <c r="DH255" s="141"/>
      <c r="DI255" s="140"/>
      <c r="DJ255" s="141"/>
      <c r="DK255" s="141"/>
      <c r="DL255" s="141"/>
      <c r="DM255" s="141"/>
      <c r="DN255" s="140"/>
      <c r="DO255" s="141"/>
      <c r="DP255" s="141"/>
      <c r="DQ255" s="141"/>
      <c r="DR255" s="141"/>
      <c r="DS255" s="140"/>
    </row>
    <row r="256" s="87" customFormat="1" spans="2:123">
      <c r="B256" s="221" t="s">
        <v>378</v>
      </c>
      <c r="C256" s="310"/>
      <c r="D256" s="141"/>
      <c r="E256" s="141"/>
      <c r="F256" s="141"/>
      <c r="G256" s="141"/>
      <c r="H256" s="140"/>
      <c r="I256" s="141"/>
      <c r="J256" s="141"/>
      <c r="K256" s="141"/>
      <c r="L256" s="141"/>
      <c r="M256" s="140"/>
      <c r="N256" s="141"/>
      <c r="O256" s="141"/>
      <c r="P256" s="141"/>
      <c r="Q256" s="141"/>
      <c r="R256" s="140"/>
      <c r="S256" s="141"/>
      <c r="T256" s="141"/>
      <c r="U256" s="141"/>
      <c r="V256" s="141"/>
      <c r="W256" s="140"/>
      <c r="X256" s="141"/>
      <c r="Y256" s="141"/>
      <c r="Z256" s="141"/>
      <c r="AA256" s="141"/>
      <c r="AB256" s="140"/>
      <c r="AC256" s="141"/>
      <c r="AD256" s="141"/>
      <c r="AE256" s="141"/>
      <c r="AF256" s="141"/>
      <c r="AG256" s="140"/>
      <c r="AH256" s="141"/>
      <c r="AI256" s="141"/>
      <c r="AJ256" s="141"/>
      <c r="AK256" s="141"/>
      <c r="AL256" s="140"/>
      <c r="AM256" s="141"/>
      <c r="AN256" s="141"/>
      <c r="AO256" s="141"/>
      <c r="AP256" s="141"/>
      <c r="AQ256" s="140"/>
      <c r="AR256" s="141"/>
      <c r="AS256" s="141"/>
      <c r="AT256" s="141"/>
      <c r="AU256" s="141"/>
      <c r="AV256" s="140"/>
      <c r="AW256" s="141"/>
      <c r="AX256" s="141"/>
      <c r="AY256" s="141"/>
      <c r="AZ256" s="141"/>
      <c r="BA256" s="140"/>
      <c r="BB256" s="141"/>
      <c r="BC256" s="141"/>
      <c r="BD256" s="141"/>
      <c r="BE256" s="141"/>
      <c r="BF256" s="140"/>
      <c r="BG256" s="141"/>
      <c r="BH256" s="141"/>
      <c r="BI256" s="141"/>
      <c r="BJ256" s="141"/>
      <c r="BK256" s="140"/>
      <c r="BL256" s="141"/>
      <c r="BM256" s="141"/>
      <c r="BN256" s="141"/>
      <c r="BO256" s="141"/>
      <c r="BP256" s="140"/>
      <c r="BQ256" s="141"/>
      <c r="BR256" s="141"/>
      <c r="BS256" s="141"/>
      <c r="BT256" s="141"/>
      <c r="BU256" s="140"/>
      <c r="BV256" s="141"/>
      <c r="BW256" s="141"/>
      <c r="BX256" s="141"/>
      <c r="BY256" s="141"/>
      <c r="BZ256" s="140"/>
      <c r="CA256" s="141"/>
      <c r="CB256" s="141"/>
      <c r="CC256" s="141"/>
      <c r="CD256" s="141"/>
      <c r="CE256" s="140"/>
      <c r="CF256" s="141"/>
      <c r="CG256" s="141"/>
      <c r="CH256" s="141"/>
      <c r="CI256" s="141"/>
      <c r="CJ256" s="140"/>
      <c r="CK256" s="141"/>
      <c r="CL256" s="141"/>
      <c r="CM256" s="141"/>
      <c r="CN256" s="141"/>
      <c r="CO256" s="140">
        <f>(CO236+CO253)/CO236</f>
        <v>0.766159065954557</v>
      </c>
      <c r="CP256" s="141"/>
      <c r="CQ256" s="141"/>
      <c r="CR256" s="141"/>
      <c r="CS256" s="141"/>
      <c r="CT256" s="140">
        <f t="shared" ref="CT256:DF256" si="1311">(CT236+CT253)/CT236</f>
        <v>0.74924981323151</v>
      </c>
      <c r="CU256" s="141">
        <f t="shared" si="1311"/>
        <v>0.773936257760397</v>
      </c>
      <c r="CV256" s="141">
        <f t="shared" si="1311"/>
        <v>0.77228037900754</v>
      </c>
      <c r="CW256" s="141">
        <f t="shared" si="1311"/>
        <v>0.770168814279163</v>
      </c>
      <c r="CX256" s="141">
        <f t="shared" si="1311"/>
        <v>0.739188845806354</v>
      </c>
      <c r="CY256" s="140">
        <f t="shared" si="1311"/>
        <v>0.761824588621333</v>
      </c>
      <c r="CZ256" s="141">
        <f t="shared" si="1311"/>
        <v>0.777737631791275</v>
      </c>
      <c r="DA256" s="141">
        <f t="shared" si="1311"/>
        <v>0.765285137618415</v>
      </c>
      <c r="DB256" s="141">
        <f t="shared" si="1311"/>
        <v>0.762584826436194</v>
      </c>
      <c r="DC256" s="310">
        <f t="shared" si="1311"/>
        <v>0.754018446818737</v>
      </c>
      <c r="DD256" s="140">
        <f t="shared" si="1311"/>
        <v>0.763788331313159</v>
      </c>
      <c r="DE256" s="141">
        <f t="shared" si="1311"/>
        <v>0.789801314813073</v>
      </c>
      <c r="DF256" s="141">
        <f t="shared" si="1311"/>
        <v>0.781198491752539</v>
      </c>
      <c r="DG256" s="141"/>
      <c r="DH256" s="141"/>
      <c r="DI256" s="140"/>
      <c r="DJ256" s="141"/>
      <c r="DK256" s="141"/>
      <c r="DL256" s="141"/>
      <c r="DM256" s="141"/>
      <c r="DN256" s="140"/>
      <c r="DO256" s="141"/>
      <c r="DP256" s="141"/>
      <c r="DQ256" s="141"/>
      <c r="DR256" s="141"/>
      <c r="DS256" s="140"/>
    </row>
    <row r="257" s="3" customFormat="1" spans="2:123">
      <c r="B257" s="225" t="s">
        <v>379</v>
      </c>
      <c r="C257" s="284"/>
      <c r="D257" s="189"/>
      <c r="E257" s="189"/>
      <c r="F257" s="189"/>
      <c r="G257" s="189"/>
      <c r="H257" s="188"/>
      <c r="I257" s="189"/>
      <c r="J257" s="189"/>
      <c r="K257" s="189"/>
      <c r="L257" s="189"/>
      <c r="M257" s="188"/>
      <c r="N257" s="189"/>
      <c r="O257" s="189"/>
      <c r="P257" s="189"/>
      <c r="Q257" s="189"/>
      <c r="R257" s="188"/>
      <c r="S257" s="189"/>
      <c r="T257" s="189"/>
      <c r="U257" s="189"/>
      <c r="V257" s="189"/>
      <c r="W257" s="188"/>
      <c r="X257" s="189"/>
      <c r="Y257" s="189"/>
      <c r="Z257" s="195"/>
      <c r="AA257" s="195"/>
      <c r="AB257" s="188"/>
      <c r="AC257" s="195"/>
      <c r="AD257" s="195"/>
      <c r="AE257" s="195"/>
      <c r="AF257" s="195"/>
      <c r="AG257" s="194"/>
      <c r="AH257" s="195"/>
      <c r="AI257" s="195"/>
      <c r="AJ257" s="195"/>
      <c r="AK257" s="195"/>
      <c r="AL257" s="194"/>
      <c r="AM257" s="195"/>
      <c r="AN257" s="195"/>
      <c r="AO257" s="195"/>
      <c r="AP257" s="195"/>
      <c r="AQ257" s="194"/>
      <c r="AR257" s="195"/>
      <c r="AS257" s="195"/>
      <c r="AT257" s="195"/>
      <c r="AU257" s="195"/>
      <c r="AV257" s="194"/>
      <c r="AW257" s="195"/>
      <c r="AX257" s="195"/>
      <c r="AY257" s="195"/>
      <c r="AZ257" s="195"/>
      <c r="BA257" s="194"/>
      <c r="BB257" s="195"/>
      <c r="BC257" s="195"/>
      <c r="BD257" s="195"/>
      <c r="BE257" s="195"/>
      <c r="BF257" s="194"/>
      <c r="BG257" s="195"/>
      <c r="BH257" s="195"/>
      <c r="BI257" s="195"/>
      <c r="BJ257" s="195"/>
      <c r="BK257" s="194"/>
      <c r="BL257" s="195"/>
      <c r="BM257" s="195"/>
      <c r="BN257" s="195"/>
      <c r="BO257" s="195"/>
      <c r="BP257" s="194"/>
      <c r="BQ257" s="195"/>
      <c r="BR257" s="195"/>
      <c r="BS257" s="195"/>
      <c r="BT257" s="120"/>
      <c r="BU257" s="119"/>
      <c r="BV257" s="120"/>
      <c r="BW257" s="120"/>
      <c r="BX257" s="120"/>
      <c r="BY257" s="189"/>
      <c r="BZ257" s="188"/>
      <c r="CA257" s="189"/>
      <c r="CB257" s="189"/>
      <c r="CC257" s="189"/>
      <c r="CD257" s="189"/>
      <c r="CE257" s="188"/>
      <c r="CF257" s="189"/>
      <c r="CG257" s="189"/>
      <c r="CH257" s="189"/>
      <c r="CI257" s="189"/>
      <c r="CJ257" s="188"/>
      <c r="CK257" s="189"/>
      <c r="CL257" s="189"/>
      <c r="CM257" s="189"/>
      <c r="CN257" s="189"/>
      <c r="CO257" s="223" t="s">
        <v>208</v>
      </c>
      <c r="CP257" s="189"/>
      <c r="CQ257" s="189"/>
      <c r="CR257" s="189"/>
      <c r="CS257" s="189"/>
      <c r="CT257" s="329">
        <f>(CT256-CO256)*100*100</f>
        <v>-169.092527230472</v>
      </c>
      <c r="CU257" s="330" t="s">
        <v>208</v>
      </c>
      <c r="CV257" s="330" t="s">
        <v>208</v>
      </c>
      <c r="CW257" s="330" t="s">
        <v>208</v>
      </c>
      <c r="CX257" s="330" t="s">
        <v>208</v>
      </c>
      <c r="CY257" s="329">
        <f t="shared" ref="CY257:DF257" si="1312">(CY256-CT256)*100*100</f>
        <v>125.747753898233</v>
      </c>
      <c r="CZ257" s="330">
        <f t="shared" si="1312"/>
        <v>38.0137403087755</v>
      </c>
      <c r="DA257" s="330">
        <f t="shared" si="1312"/>
        <v>-69.9524138912511</v>
      </c>
      <c r="DB257" s="330">
        <f t="shared" si="1312"/>
        <v>-75.8398784296865</v>
      </c>
      <c r="DC257" s="333">
        <f t="shared" si="1312"/>
        <v>148.29601012383</v>
      </c>
      <c r="DD257" s="329">
        <f t="shared" si="1312"/>
        <v>19.6374269182586</v>
      </c>
      <c r="DE257" s="330">
        <f t="shared" si="1312"/>
        <v>120.636830217983</v>
      </c>
      <c r="DF257" s="330">
        <f t="shared" si="1312"/>
        <v>159.133541341244</v>
      </c>
      <c r="DG257" s="334"/>
      <c r="DH257" s="334"/>
      <c r="DI257" s="329"/>
      <c r="DJ257" s="334"/>
      <c r="DK257" s="334"/>
      <c r="DL257" s="334"/>
      <c r="DM257" s="334"/>
      <c r="DN257" s="329"/>
      <c r="DO257" s="334"/>
      <c r="DP257" s="334"/>
      <c r="DQ257" s="334"/>
      <c r="DR257" s="334"/>
      <c r="DS257" s="329"/>
    </row>
    <row r="258" s="3" customFormat="1" spans="2:123">
      <c r="B258" s="123" t="s">
        <v>321</v>
      </c>
      <c r="C258" s="284"/>
      <c r="D258" s="189"/>
      <c r="E258" s="189"/>
      <c r="F258" s="189"/>
      <c r="G258" s="189"/>
      <c r="H258" s="188"/>
      <c r="I258" s="189"/>
      <c r="J258" s="189"/>
      <c r="K258" s="189"/>
      <c r="L258" s="189"/>
      <c r="M258" s="188"/>
      <c r="N258" s="189"/>
      <c r="O258" s="189"/>
      <c r="P258" s="189"/>
      <c r="Q258" s="189"/>
      <c r="R258" s="188"/>
      <c r="S258" s="189"/>
      <c r="T258" s="189"/>
      <c r="U258" s="189"/>
      <c r="V258" s="189"/>
      <c r="W258" s="188"/>
      <c r="X258" s="189"/>
      <c r="Y258" s="189"/>
      <c r="Z258" s="195"/>
      <c r="AA258" s="195"/>
      <c r="AB258" s="188"/>
      <c r="AC258" s="195"/>
      <c r="AD258" s="195"/>
      <c r="AE258" s="195"/>
      <c r="AF258" s="195"/>
      <c r="AG258" s="194"/>
      <c r="AH258" s="195"/>
      <c r="AI258" s="195"/>
      <c r="AJ258" s="195"/>
      <c r="AK258" s="195"/>
      <c r="AL258" s="194"/>
      <c r="AM258" s="195"/>
      <c r="AN258" s="195"/>
      <c r="AO258" s="195"/>
      <c r="AP258" s="195"/>
      <c r="AQ258" s="194"/>
      <c r="AR258" s="195"/>
      <c r="AS258" s="195"/>
      <c r="AT258" s="195"/>
      <c r="AU258" s="195"/>
      <c r="AV258" s="194"/>
      <c r="AW258" s="195"/>
      <c r="AX258" s="195"/>
      <c r="AY258" s="195"/>
      <c r="AZ258" s="195"/>
      <c r="BA258" s="194"/>
      <c r="BB258" s="195"/>
      <c r="BC258" s="195"/>
      <c r="BD258" s="195"/>
      <c r="BE258" s="195"/>
      <c r="BF258" s="194"/>
      <c r="BG258" s="195"/>
      <c r="BH258" s="195"/>
      <c r="BI258" s="195"/>
      <c r="BJ258" s="195"/>
      <c r="BK258" s="194"/>
      <c r="BL258" s="195"/>
      <c r="BM258" s="195"/>
      <c r="BN258" s="195"/>
      <c r="BO258" s="195"/>
      <c r="BP258" s="194"/>
      <c r="BQ258" s="195"/>
      <c r="BR258" s="195"/>
      <c r="BS258" s="195"/>
      <c r="BT258" s="120"/>
      <c r="BU258" s="119"/>
      <c r="BV258" s="120"/>
      <c r="BW258" s="120"/>
      <c r="BX258" s="120"/>
      <c r="BY258" s="189"/>
      <c r="BZ258" s="188"/>
      <c r="CA258" s="189"/>
      <c r="CB258" s="189"/>
      <c r="CC258" s="189"/>
      <c r="CD258" s="189"/>
      <c r="CE258" s="188"/>
      <c r="CF258" s="189"/>
      <c r="CG258" s="189"/>
      <c r="CH258" s="189"/>
      <c r="CI258" s="189"/>
      <c r="CJ258" s="188"/>
      <c r="CK258" s="189"/>
      <c r="CL258" s="189"/>
      <c r="CM258" s="189"/>
      <c r="CN258" s="189"/>
      <c r="CO258" s="124">
        <v>-101.825</v>
      </c>
      <c r="CP258" s="189"/>
      <c r="CQ258" s="189"/>
      <c r="CR258" s="189"/>
      <c r="CS258" s="189"/>
      <c r="CT258" s="127">
        <v>-154.136</v>
      </c>
      <c r="CU258" s="126">
        <v>-47.508</v>
      </c>
      <c r="CV258" s="126">
        <v>-46.084</v>
      </c>
      <c r="CW258" s="126">
        <v>-48.555</v>
      </c>
      <c r="CX258" s="126">
        <f>CY258-CU258-CV258-CW258</f>
        <v>-56.226</v>
      </c>
      <c r="CY258" s="127">
        <v>-198.373</v>
      </c>
      <c r="CZ258" s="126">
        <v>-50.273</v>
      </c>
      <c r="DA258" s="126">
        <v>-51.139</v>
      </c>
      <c r="DB258" s="126">
        <v>-55.702</v>
      </c>
      <c r="DC258" s="126">
        <f>DD258-CZ258-DA258-DB258</f>
        <v>-64.566</v>
      </c>
      <c r="DD258" s="129">
        <f>-221.68</f>
        <v>-221.68</v>
      </c>
      <c r="DE258" s="126">
        <v>-63.556</v>
      </c>
      <c r="DF258" s="126">
        <v>-56.326</v>
      </c>
      <c r="DG258" s="126"/>
      <c r="DH258" s="126"/>
      <c r="DI258" s="127"/>
      <c r="DJ258" s="126"/>
      <c r="DK258" s="126"/>
      <c r="DL258" s="126"/>
      <c r="DM258" s="126"/>
      <c r="DN258" s="127"/>
      <c r="DO258" s="126"/>
      <c r="DP258" s="126"/>
      <c r="DQ258" s="126"/>
      <c r="DR258" s="126"/>
      <c r="DS258" s="127"/>
    </row>
    <row r="259" s="3" customFormat="1" spans="2:123">
      <c r="B259" s="225" t="s">
        <v>370</v>
      </c>
      <c r="C259" s="284"/>
      <c r="D259" s="189"/>
      <c r="E259" s="189"/>
      <c r="F259" s="189"/>
      <c r="G259" s="189"/>
      <c r="H259" s="188"/>
      <c r="I259" s="189"/>
      <c r="J259" s="189"/>
      <c r="K259" s="189"/>
      <c r="L259" s="189"/>
      <c r="M259" s="188"/>
      <c r="N259" s="189"/>
      <c r="O259" s="189"/>
      <c r="P259" s="189"/>
      <c r="Q259" s="189"/>
      <c r="R259" s="188"/>
      <c r="S259" s="189"/>
      <c r="T259" s="189"/>
      <c r="U259" s="189"/>
      <c r="V259" s="189"/>
      <c r="W259" s="188"/>
      <c r="X259" s="189"/>
      <c r="Y259" s="189"/>
      <c r="Z259" s="195"/>
      <c r="AA259" s="195"/>
      <c r="AB259" s="188"/>
      <c r="AC259" s="195"/>
      <c r="AD259" s="195"/>
      <c r="AE259" s="195"/>
      <c r="AF259" s="195"/>
      <c r="AG259" s="194"/>
      <c r="AH259" s="195"/>
      <c r="AI259" s="195"/>
      <c r="AJ259" s="195"/>
      <c r="AK259" s="195"/>
      <c r="AL259" s="194"/>
      <c r="AM259" s="195"/>
      <c r="AN259" s="195"/>
      <c r="AO259" s="195"/>
      <c r="AP259" s="195"/>
      <c r="AQ259" s="194"/>
      <c r="AR259" s="195"/>
      <c r="AS259" s="195"/>
      <c r="AT259" s="195"/>
      <c r="AU259" s="195"/>
      <c r="AV259" s="194"/>
      <c r="AW259" s="195"/>
      <c r="AX259" s="195"/>
      <c r="AY259" s="195"/>
      <c r="AZ259" s="195"/>
      <c r="BA259" s="194"/>
      <c r="BB259" s="195"/>
      <c r="BC259" s="195"/>
      <c r="BD259" s="195"/>
      <c r="BE259" s="195"/>
      <c r="BF259" s="194"/>
      <c r="BG259" s="195"/>
      <c r="BH259" s="195"/>
      <c r="BI259" s="195"/>
      <c r="BJ259" s="195"/>
      <c r="BK259" s="194"/>
      <c r="BL259" s="195"/>
      <c r="BM259" s="195"/>
      <c r="BN259" s="195"/>
      <c r="BO259" s="195"/>
      <c r="BP259" s="194"/>
      <c r="BQ259" s="195"/>
      <c r="BR259" s="195"/>
      <c r="BS259" s="195"/>
      <c r="BT259" s="120"/>
      <c r="BU259" s="119"/>
      <c r="BV259" s="120"/>
      <c r="BW259" s="120"/>
      <c r="BX259" s="120"/>
      <c r="BY259" s="189"/>
      <c r="BZ259" s="188"/>
      <c r="CA259" s="189"/>
      <c r="CB259" s="189"/>
      <c r="CC259" s="189"/>
      <c r="CD259" s="189"/>
      <c r="CE259" s="188"/>
      <c r="CF259" s="189"/>
      <c r="CG259" s="189"/>
      <c r="CH259" s="189"/>
      <c r="CI259" s="189"/>
      <c r="CJ259" s="188"/>
      <c r="CK259" s="189"/>
      <c r="CL259" s="189"/>
      <c r="CM259" s="189"/>
      <c r="CN259" s="189"/>
      <c r="CO259" s="140" t="s">
        <v>208</v>
      </c>
      <c r="CP259" s="189"/>
      <c r="CQ259" s="189"/>
      <c r="CR259" s="189"/>
      <c r="CS259" s="189"/>
      <c r="CT259" s="140">
        <f>CT258/CO258-1</f>
        <v>0.513734348146329</v>
      </c>
      <c r="CU259" s="291" t="s">
        <v>208</v>
      </c>
      <c r="CV259" s="291" t="s">
        <v>208</v>
      </c>
      <c r="CW259" s="291" t="s">
        <v>208</v>
      </c>
      <c r="CX259" s="291" t="s">
        <v>208</v>
      </c>
      <c r="CY259" s="140">
        <f t="shared" ref="CY259:DF259" si="1313">CY258/CT258-1</f>
        <v>0.286999792391135</v>
      </c>
      <c r="CZ259" s="291">
        <f t="shared" si="1313"/>
        <v>0.0582007240885745</v>
      </c>
      <c r="DA259" s="291">
        <f t="shared" si="1313"/>
        <v>0.109690999045222</v>
      </c>
      <c r="DB259" s="291">
        <f t="shared" si="1313"/>
        <v>0.14719390382041</v>
      </c>
      <c r="DC259" s="310">
        <f t="shared" si="1313"/>
        <v>0.148329954113756</v>
      </c>
      <c r="DD259" s="140">
        <f t="shared" si="1313"/>
        <v>0.117490787556775</v>
      </c>
      <c r="DE259" s="291">
        <f t="shared" si="1313"/>
        <v>0.264217373142641</v>
      </c>
      <c r="DF259" s="291">
        <f t="shared" si="1313"/>
        <v>0.101429437415671</v>
      </c>
      <c r="DG259" s="291"/>
      <c r="DH259" s="291"/>
      <c r="DI259" s="140"/>
      <c r="DJ259" s="291"/>
      <c r="DK259" s="291"/>
      <c r="DL259" s="291"/>
      <c r="DM259" s="291"/>
      <c r="DN259" s="140"/>
      <c r="DO259" s="291"/>
      <c r="DP259" s="291"/>
      <c r="DQ259" s="291"/>
      <c r="DR259" s="291"/>
      <c r="DS259" s="140"/>
    </row>
    <row r="260" s="87" customFormat="1" spans="2:123">
      <c r="B260" s="221" t="s">
        <v>186</v>
      </c>
      <c r="C260" s="310"/>
      <c r="D260" s="141"/>
      <c r="E260" s="141"/>
      <c r="F260" s="141"/>
      <c r="G260" s="141"/>
      <c r="H260" s="140"/>
      <c r="I260" s="141"/>
      <c r="J260" s="141"/>
      <c r="K260" s="141"/>
      <c r="L260" s="141"/>
      <c r="M260" s="140"/>
      <c r="N260" s="141"/>
      <c r="O260" s="141"/>
      <c r="P260" s="141"/>
      <c r="Q260" s="141"/>
      <c r="R260" s="140"/>
      <c r="S260" s="141"/>
      <c r="T260" s="141"/>
      <c r="U260" s="141"/>
      <c r="V260" s="141"/>
      <c r="W260" s="140"/>
      <c r="X260" s="141"/>
      <c r="Y260" s="141"/>
      <c r="Z260" s="141"/>
      <c r="AA260" s="141"/>
      <c r="AB260" s="140"/>
      <c r="AC260" s="141"/>
      <c r="AD260" s="141"/>
      <c r="AE260" s="141"/>
      <c r="AF260" s="141"/>
      <c r="AG260" s="140"/>
      <c r="AH260" s="141"/>
      <c r="AI260" s="141"/>
      <c r="AJ260" s="141"/>
      <c r="AK260" s="141"/>
      <c r="AL260" s="140"/>
      <c r="AM260" s="141"/>
      <c r="AN260" s="141"/>
      <c r="AO260" s="141"/>
      <c r="AP260" s="141"/>
      <c r="AQ260" s="140"/>
      <c r="AR260" s="141"/>
      <c r="AS260" s="141"/>
      <c r="AT260" s="141"/>
      <c r="AU260" s="141"/>
      <c r="AV260" s="140"/>
      <c r="AW260" s="141"/>
      <c r="AX260" s="141"/>
      <c r="AY260" s="141"/>
      <c r="AZ260" s="141"/>
      <c r="BA260" s="140"/>
      <c r="BB260" s="141"/>
      <c r="BC260" s="141"/>
      <c r="BD260" s="141"/>
      <c r="BE260" s="141"/>
      <c r="BF260" s="140"/>
      <c r="BG260" s="141"/>
      <c r="BH260" s="141"/>
      <c r="BI260" s="141"/>
      <c r="BJ260" s="141"/>
      <c r="BK260" s="140"/>
      <c r="BL260" s="141"/>
      <c r="BM260" s="141"/>
      <c r="BN260" s="141"/>
      <c r="BO260" s="141"/>
      <c r="BP260" s="140"/>
      <c r="BQ260" s="141"/>
      <c r="BR260" s="141"/>
      <c r="BS260" s="141"/>
      <c r="BT260" s="141"/>
      <c r="BU260" s="140"/>
      <c r="BV260" s="141"/>
      <c r="BW260" s="141"/>
      <c r="BX260" s="141"/>
      <c r="BY260" s="141"/>
      <c r="BZ260" s="140"/>
      <c r="CA260" s="141"/>
      <c r="CB260" s="141"/>
      <c r="CC260" s="141"/>
      <c r="CD260" s="141"/>
      <c r="CE260" s="140"/>
      <c r="CF260" s="141"/>
      <c r="CG260" s="141"/>
      <c r="CH260" s="141"/>
      <c r="CI260" s="141"/>
      <c r="CJ260" s="140"/>
      <c r="CK260" s="141"/>
      <c r="CL260" s="141"/>
      <c r="CM260" s="141"/>
      <c r="CN260" s="141"/>
      <c r="CO260" s="140">
        <f>-CO258/CO236</f>
        <v>0.17662527341575</v>
      </c>
      <c r="CP260" s="141"/>
      <c r="CQ260" s="141"/>
      <c r="CR260" s="141"/>
      <c r="CS260" s="141"/>
      <c r="CT260" s="140">
        <f t="shared" ref="CT260:DF260" si="1314">-CT258/CT236</f>
        <v>0.159931933261393</v>
      </c>
      <c r="CU260" s="141">
        <f t="shared" si="1314"/>
        <v>0.156386403586735</v>
      </c>
      <c r="CV260" s="141">
        <f t="shared" si="1314"/>
        <v>0.146676045310307</v>
      </c>
      <c r="CW260" s="141">
        <f t="shared" si="1314"/>
        <v>0.152526559820065</v>
      </c>
      <c r="CX260" s="141">
        <f t="shared" si="1314"/>
        <v>0.13228900015058</v>
      </c>
      <c r="CY260" s="140">
        <f t="shared" si="1314"/>
        <v>0.145719245124462</v>
      </c>
      <c r="CZ260" s="141">
        <f t="shared" si="1314"/>
        <v>0.136573929437845</v>
      </c>
      <c r="DA260" s="141">
        <f t="shared" si="1314"/>
        <v>0.130158463519794</v>
      </c>
      <c r="DB260" s="141">
        <f t="shared" si="1314"/>
        <v>0.119696064569088</v>
      </c>
      <c r="DC260" s="310">
        <f t="shared" si="1314"/>
        <v>0.122182734776833</v>
      </c>
      <c r="DD260" s="140">
        <f t="shared" si="1314"/>
        <v>0.126327858632242</v>
      </c>
      <c r="DE260" s="141">
        <f t="shared" si="1314"/>
        <v>0.13285255907775</v>
      </c>
      <c r="DF260" s="141">
        <f t="shared" si="1314"/>
        <v>0.138360824868888</v>
      </c>
      <c r="DG260" s="141"/>
      <c r="DH260" s="141"/>
      <c r="DI260" s="140"/>
      <c r="DJ260" s="141"/>
      <c r="DK260" s="141"/>
      <c r="DL260" s="141"/>
      <c r="DM260" s="141"/>
      <c r="DN260" s="140"/>
      <c r="DO260" s="141"/>
      <c r="DP260" s="141"/>
      <c r="DQ260" s="141"/>
      <c r="DR260" s="141"/>
      <c r="DS260" s="140"/>
    </row>
    <row r="261" s="3" customFormat="1" spans="2:123">
      <c r="B261" s="225" t="s">
        <v>379</v>
      </c>
      <c r="C261" s="284"/>
      <c r="D261" s="189"/>
      <c r="E261" s="189"/>
      <c r="F261" s="189"/>
      <c r="G261" s="189"/>
      <c r="H261" s="188"/>
      <c r="I261" s="189"/>
      <c r="J261" s="189"/>
      <c r="K261" s="189"/>
      <c r="L261" s="189"/>
      <c r="M261" s="188"/>
      <c r="N261" s="189"/>
      <c r="O261" s="189"/>
      <c r="P261" s="189"/>
      <c r="Q261" s="189"/>
      <c r="R261" s="188"/>
      <c r="S261" s="189"/>
      <c r="T261" s="189"/>
      <c r="U261" s="189"/>
      <c r="V261" s="189"/>
      <c r="W261" s="188"/>
      <c r="X261" s="189"/>
      <c r="Y261" s="189"/>
      <c r="Z261" s="195"/>
      <c r="AA261" s="195"/>
      <c r="AB261" s="188"/>
      <c r="AC261" s="195"/>
      <c r="AD261" s="195"/>
      <c r="AE261" s="195"/>
      <c r="AF261" s="195"/>
      <c r="AG261" s="194"/>
      <c r="AH261" s="195"/>
      <c r="AI261" s="195"/>
      <c r="AJ261" s="195"/>
      <c r="AK261" s="195"/>
      <c r="AL261" s="194"/>
      <c r="AM261" s="195"/>
      <c r="AN261" s="195"/>
      <c r="AO261" s="195"/>
      <c r="AP261" s="195"/>
      <c r="AQ261" s="194"/>
      <c r="AR261" s="195"/>
      <c r="AS261" s="195"/>
      <c r="AT261" s="195"/>
      <c r="AU261" s="195"/>
      <c r="AV261" s="194"/>
      <c r="AW261" s="195"/>
      <c r="AX261" s="195"/>
      <c r="AY261" s="195"/>
      <c r="AZ261" s="195"/>
      <c r="BA261" s="194"/>
      <c r="BB261" s="195"/>
      <c r="BC261" s="195"/>
      <c r="BD261" s="195"/>
      <c r="BE261" s="195"/>
      <c r="BF261" s="194"/>
      <c r="BG261" s="195"/>
      <c r="BH261" s="195"/>
      <c r="BI261" s="195"/>
      <c r="BJ261" s="195"/>
      <c r="BK261" s="194"/>
      <c r="BL261" s="195"/>
      <c r="BM261" s="195"/>
      <c r="BN261" s="195"/>
      <c r="BO261" s="195"/>
      <c r="BP261" s="194"/>
      <c r="BQ261" s="195"/>
      <c r="BR261" s="195"/>
      <c r="BS261" s="195"/>
      <c r="BT261" s="120"/>
      <c r="BU261" s="119"/>
      <c r="BV261" s="120"/>
      <c r="BW261" s="120"/>
      <c r="BX261" s="120"/>
      <c r="BY261" s="189"/>
      <c r="BZ261" s="188"/>
      <c r="CA261" s="189"/>
      <c r="CB261" s="189"/>
      <c r="CC261" s="189"/>
      <c r="CD261" s="189"/>
      <c r="CE261" s="188"/>
      <c r="CF261" s="189"/>
      <c r="CG261" s="189"/>
      <c r="CH261" s="189"/>
      <c r="CI261" s="189"/>
      <c r="CJ261" s="188"/>
      <c r="CK261" s="189"/>
      <c r="CL261" s="189"/>
      <c r="CM261" s="189"/>
      <c r="CN261" s="189"/>
      <c r="CO261" s="223" t="s">
        <v>208</v>
      </c>
      <c r="CP261" s="189"/>
      <c r="CQ261" s="189"/>
      <c r="CR261" s="189"/>
      <c r="CS261" s="189"/>
      <c r="CT261" s="329">
        <f>(CT260-CO260)*100*100</f>
        <v>-166.933401543569</v>
      </c>
      <c r="CU261" s="330" t="s">
        <v>208</v>
      </c>
      <c r="CV261" s="330" t="s">
        <v>208</v>
      </c>
      <c r="CW261" s="330" t="s">
        <v>208</v>
      </c>
      <c r="CX261" s="330" t="s">
        <v>208</v>
      </c>
      <c r="CY261" s="329">
        <f t="shared" ref="CY261:DF261" si="1315">(CY260-CT260)*100*100</f>
        <v>-142.126881369307</v>
      </c>
      <c r="CZ261" s="330">
        <f t="shared" si="1315"/>
        <v>-198.124741488909</v>
      </c>
      <c r="DA261" s="330">
        <f t="shared" si="1315"/>
        <v>-165.175817905129</v>
      </c>
      <c r="DB261" s="330">
        <f t="shared" si="1315"/>
        <v>-328.304952509773</v>
      </c>
      <c r="DC261" s="333">
        <f t="shared" si="1315"/>
        <v>-101.062653737468</v>
      </c>
      <c r="DD261" s="329">
        <f t="shared" si="1315"/>
        <v>-193.9138649222</v>
      </c>
      <c r="DE261" s="330">
        <f t="shared" si="1315"/>
        <v>-37.2137036009496</v>
      </c>
      <c r="DF261" s="330">
        <f t="shared" si="1315"/>
        <v>82.0236134909416</v>
      </c>
      <c r="DG261" s="334"/>
      <c r="DH261" s="334"/>
      <c r="DI261" s="329"/>
      <c r="DJ261" s="334"/>
      <c r="DK261" s="334"/>
      <c r="DL261" s="334"/>
      <c r="DM261" s="334"/>
      <c r="DN261" s="329"/>
      <c r="DO261" s="334"/>
      <c r="DP261" s="334"/>
      <c r="DQ261" s="334"/>
      <c r="DR261" s="334"/>
      <c r="DS261" s="329"/>
    </row>
    <row r="262" s="3" customFormat="1" spans="2:123">
      <c r="B262" s="130" t="s">
        <v>395</v>
      </c>
      <c r="C262" s="284"/>
      <c r="D262" s="189"/>
      <c r="E262" s="189"/>
      <c r="F262" s="189"/>
      <c r="G262" s="189"/>
      <c r="H262" s="188"/>
      <c r="I262" s="189"/>
      <c r="J262" s="189"/>
      <c r="K262" s="189"/>
      <c r="L262" s="189"/>
      <c r="M262" s="188"/>
      <c r="N262" s="189"/>
      <c r="O262" s="189"/>
      <c r="P262" s="189"/>
      <c r="Q262" s="189"/>
      <c r="R262" s="188"/>
      <c r="S262" s="189"/>
      <c r="T262" s="189"/>
      <c r="U262" s="189"/>
      <c r="V262" s="189"/>
      <c r="W262" s="188"/>
      <c r="X262" s="189"/>
      <c r="Y262" s="189"/>
      <c r="Z262" s="195"/>
      <c r="AA262" s="195"/>
      <c r="AB262" s="188"/>
      <c r="AC262" s="195"/>
      <c r="AD262" s="195"/>
      <c r="AE262" s="195"/>
      <c r="AF262" s="195"/>
      <c r="AG262" s="194"/>
      <c r="AH262" s="195"/>
      <c r="AI262" s="195"/>
      <c r="AJ262" s="195"/>
      <c r="AK262" s="195"/>
      <c r="AL262" s="194"/>
      <c r="AM262" s="195"/>
      <c r="AN262" s="195"/>
      <c r="AO262" s="195"/>
      <c r="AP262" s="195"/>
      <c r="AQ262" s="194"/>
      <c r="AR262" s="195"/>
      <c r="AS262" s="195"/>
      <c r="AT262" s="195"/>
      <c r="AU262" s="195"/>
      <c r="AV262" s="194"/>
      <c r="AW262" s="195"/>
      <c r="AX262" s="195"/>
      <c r="AY262" s="195"/>
      <c r="AZ262" s="195"/>
      <c r="BA262" s="194"/>
      <c r="BB262" s="195"/>
      <c r="BC262" s="195"/>
      <c r="BD262" s="195"/>
      <c r="BE262" s="195"/>
      <c r="BF262" s="194"/>
      <c r="BG262" s="195"/>
      <c r="BH262" s="195"/>
      <c r="BI262" s="195"/>
      <c r="BJ262" s="195"/>
      <c r="BK262" s="194"/>
      <c r="BL262" s="195"/>
      <c r="BM262" s="195"/>
      <c r="BN262" s="195"/>
      <c r="BO262" s="195"/>
      <c r="BP262" s="194"/>
      <c r="BQ262" s="195"/>
      <c r="BR262" s="195"/>
      <c r="BS262" s="195"/>
      <c r="BT262" s="120"/>
      <c r="BU262" s="119"/>
      <c r="BV262" s="120"/>
      <c r="BW262" s="120"/>
      <c r="BX262" s="120"/>
      <c r="BY262" s="189"/>
      <c r="BZ262" s="188"/>
      <c r="CA262" s="189"/>
      <c r="CB262" s="189"/>
      <c r="CC262" s="189"/>
      <c r="CD262" s="189"/>
      <c r="CE262" s="188"/>
      <c r="CF262" s="189"/>
      <c r="CG262" s="189"/>
      <c r="CH262" s="189"/>
      <c r="CI262" s="189"/>
      <c r="CJ262" s="188"/>
      <c r="CK262" s="189"/>
      <c r="CL262" s="189"/>
      <c r="CM262" s="189"/>
      <c r="CN262" s="189"/>
      <c r="CO262" s="131">
        <f>CO236+CO253+CO258</f>
        <v>339.868</v>
      </c>
      <c r="CP262" s="189"/>
      <c r="CQ262" s="189"/>
      <c r="CR262" s="189"/>
      <c r="CS262" s="189"/>
      <c r="CT262" s="134">
        <f t="shared" ref="CT262:DC262" si="1316">CT236+CT253+CT258</f>
        <v>567.961</v>
      </c>
      <c r="CU262" s="133">
        <f t="shared" si="1316"/>
        <v>187.603</v>
      </c>
      <c r="CV262" s="133">
        <f t="shared" si="1316"/>
        <v>196.558</v>
      </c>
      <c r="CW262" s="133">
        <f t="shared" si="1316"/>
        <v>196.619</v>
      </c>
      <c r="CX262" s="133">
        <f t="shared" si="1316"/>
        <v>257.947</v>
      </c>
      <c r="CY262" s="134">
        <f t="shared" si="1316"/>
        <v>838.727</v>
      </c>
      <c r="CZ262" s="133">
        <f t="shared" si="1316"/>
        <v>236.013</v>
      </c>
      <c r="DA262" s="133">
        <f t="shared" si="1316"/>
        <v>249.54</v>
      </c>
      <c r="DB262" s="133">
        <f t="shared" si="1316"/>
        <v>299.176</v>
      </c>
      <c r="DC262" s="296">
        <f t="shared" si="1316"/>
        <v>333.886</v>
      </c>
      <c r="DD262" s="134">
        <f>CZ262+DA262+DB262+DC262</f>
        <v>1118.615</v>
      </c>
      <c r="DE262" s="133">
        <f>DE236+DE253+DE258</f>
        <v>314.281</v>
      </c>
      <c r="DF262" s="133">
        <f>DF236+DF253+DF258</f>
        <v>261.696</v>
      </c>
      <c r="DG262" s="133"/>
      <c r="DH262" s="133"/>
      <c r="DI262" s="134"/>
      <c r="DJ262" s="133"/>
      <c r="DK262" s="133"/>
      <c r="DL262" s="133"/>
      <c r="DM262" s="133"/>
      <c r="DN262" s="134"/>
      <c r="DO262" s="133"/>
      <c r="DP262" s="133"/>
      <c r="DQ262" s="133"/>
      <c r="DR262" s="133"/>
      <c r="DS262" s="134"/>
    </row>
    <row r="263" s="3" customFormat="1" spans="2:123">
      <c r="B263" s="144" t="s">
        <v>370</v>
      </c>
      <c r="C263" s="284"/>
      <c r="D263" s="189"/>
      <c r="E263" s="189"/>
      <c r="F263" s="189"/>
      <c r="G263" s="189"/>
      <c r="H263" s="188"/>
      <c r="I263" s="189"/>
      <c r="J263" s="189"/>
      <c r="K263" s="189"/>
      <c r="L263" s="189"/>
      <c r="M263" s="188"/>
      <c r="N263" s="189"/>
      <c r="O263" s="189"/>
      <c r="P263" s="189"/>
      <c r="Q263" s="189"/>
      <c r="R263" s="188"/>
      <c r="S263" s="189"/>
      <c r="T263" s="189"/>
      <c r="U263" s="189"/>
      <c r="V263" s="189"/>
      <c r="W263" s="188"/>
      <c r="X263" s="189"/>
      <c r="Y263" s="189"/>
      <c r="Z263" s="195"/>
      <c r="AA263" s="195"/>
      <c r="AB263" s="188"/>
      <c r="AC263" s="195"/>
      <c r="AD263" s="195"/>
      <c r="AE263" s="195"/>
      <c r="AF263" s="195"/>
      <c r="AG263" s="194"/>
      <c r="AH263" s="195"/>
      <c r="AI263" s="195"/>
      <c r="AJ263" s="195"/>
      <c r="AK263" s="195"/>
      <c r="AL263" s="194"/>
      <c r="AM263" s="195"/>
      <c r="AN263" s="195"/>
      <c r="AO263" s="195"/>
      <c r="AP263" s="195"/>
      <c r="AQ263" s="194"/>
      <c r="AR263" s="195"/>
      <c r="AS263" s="195"/>
      <c r="AT263" s="195"/>
      <c r="AU263" s="195"/>
      <c r="AV263" s="194"/>
      <c r="AW263" s="195"/>
      <c r="AX263" s="195"/>
      <c r="AY263" s="195"/>
      <c r="AZ263" s="195"/>
      <c r="BA263" s="194"/>
      <c r="BB263" s="195"/>
      <c r="BC263" s="195"/>
      <c r="BD263" s="195"/>
      <c r="BE263" s="195"/>
      <c r="BF263" s="194"/>
      <c r="BG263" s="195"/>
      <c r="BH263" s="195"/>
      <c r="BI263" s="195"/>
      <c r="BJ263" s="195"/>
      <c r="BK263" s="194"/>
      <c r="BL263" s="195"/>
      <c r="BM263" s="195"/>
      <c r="BN263" s="195"/>
      <c r="BO263" s="195"/>
      <c r="BP263" s="194"/>
      <c r="BQ263" s="195"/>
      <c r="BR263" s="195"/>
      <c r="BS263" s="195"/>
      <c r="BT263" s="120"/>
      <c r="BU263" s="119"/>
      <c r="BV263" s="120"/>
      <c r="BW263" s="120"/>
      <c r="BX263" s="120"/>
      <c r="BY263" s="189"/>
      <c r="BZ263" s="188"/>
      <c r="CA263" s="189"/>
      <c r="CB263" s="189"/>
      <c r="CC263" s="189"/>
      <c r="CD263" s="189"/>
      <c r="CE263" s="188"/>
      <c r="CF263" s="189"/>
      <c r="CG263" s="189"/>
      <c r="CH263" s="189"/>
      <c r="CI263" s="189"/>
      <c r="CJ263" s="188"/>
      <c r="CK263" s="189"/>
      <c r="CL263" s="189"/>
      <c r="CM263" s="189"/>
      <c r="CN263" s="189"/>
      <c r="CO263" s="140" t="s">
        <v>208</v>
      </c>
      <c r="CP263" s="189"/>
      <c r="CQ263" s="189"/>
      <c r="CR263" s="189"/>
      <c r="CS263" s="189"/>
      <c r="CT263" s="140">
        <f>CT262/CO262-1</f>
        <v>0.671122318076429</v>
      </c>
      <c r="CU263" s="291" t="s">
        <v>208</v>
      </c>
      <c r="CV263" s="291" t="s">
        <v>208</v>
      </c>
      <c r="CW263" s="291" t="s">
        <v>208</v>
      </c>
      <c r="CX263" s="291" t="s">
        <v>208</v>
      </c>
      <c r="CY263" s="140">
        <f t="shared" ref="CY263:DF263" si="1317">CY262/CT262-1</f>
        <v>0.476733437683221</v>
      </c>
      <c r="CZ263" s="291">
        <f t="shared" si="1317"/>
        <v>0.258044913993913</v>
      </c>
      <c r="DA263" s="291">
        <f t="shared" si="1317"/>
        <v>0.269548937209373</v>
      </c>
      <c r="DB263" s="291">
        <f t="shared" si="1317"/>
        <v>0.521602693534196</v>
      </c>
      <c r="DC263" s="310">
        <f t="shared" si="1317"/>
        <v>0.29439768634642</v>
      </c>
      <c r="DD263" s="140">
        <f t="shared" si="1317"/>
        <v>0.33370572307795</v>
      </c>
      <c r="DE263" s="291">
        <f t="shared" si="1317"/>
        <v>0.331625800273714</v>
      </c>
      <c r="DF263" s="291">
        <f t="shared" si="1317"/>
        <v>0.0487136330848761</v>
      </c>
      <c r="DG263" s="291"/>
      <c r="DH263" s="291"/>
      <c r="DI263" s="140"/>
      <c r="DJ263" s="291"/>
      <c r="DK263" s="291"/>
      <c r="DL263" s="291"/>
      <c r="DM263" s="291"/>
      <c r="DN263" s="140"/>
      <c r="DO263" s="291"/>
      <c r="DP263" s="291"/>
      <c r="DQ263" s="291"/>
      <c r="DR263" s="291"/>
      <c r="DS263" s="140"/>
    </row>
    <row r="264" s="3" customFormat="1" spans="2:123">
      <c r="B264" s="144" t="s">
        <v>322</v>
      </c>
      <c r="C264" s="284"/>
      <c r="D264" s="189"/>
      <c r="E264" s="189"/>
      <c r="F264" s="189"/>
      <c r="G264" s="189"/>
      <c r="H264" s="188"/>
      <c r="I264" s="189"/>
      <c r="J264" s="189"/>
      <c r="K264" s="189"/>
      <c r="L264" s="189"/>
      <c r="M264" s="188"/>
      <c r="N264" s="189"/>
      <c r="O264" s="189"/>
      <c r="P264" s="189"/>
      <c r="Q264" s="189"/>
      <c r="R264" s="188"/>
      <c r="S264" s="189"/>
      <c r="T264" s="189"/>
      <c r="U264" s="189"/>
      <c r="V264" s="189"/>
      <c r="W264" s="188"/>
      <c r="X264" s="189"/>
      <c r="Y264" s="189"/>
      <c r="Z264" s="195"/>
      <c r="AA264" s="195"/>
      <c r="AB264" s="188"/>
      <c r="AC264" s="195"/>
      <c r="AD264" s="195"/>
      <c r="AE264" s="195"/>
      <c r="AF264" s="195"/>
      <c r="AG264" s="194"/>
      <c r="AH264" s="195"/>
      <c r="AI264" s="195"/>
      <c r="AJ264" s="195"/>
      <c r="AK264" s="195"/>
      <c r="AL264" s="194"/>
      <c r="AM264" s="195"/>
      <c r="AN264" s="195"/>
      <c r="AO264" s="195"/>
      <c r="AP264" s="195"/>
      <c r="AQ264" s="194"/>
      <c r="AR264" s="195"/>
      <c r="AS264" s="195"/>
      <c r="AT264" s="195"/>
      <c r="AU264" s="195"/>
      <c r="AV264" s="194"/>
      <c r="AW264" s="195"/>
      <c r="AX264" s="195"/>
      <c r="AY264" s="195"/>
      <c r="AZ264" s="195"/>
      <c r="BA264" s="194"/>
      <c r="BB264" s="195"/>
      <c r="BC264" s="195"/>
      <c r="BD264" s="195"/>
      <c r="BE264" s="195"/>
      <c r="BF264" s="194"/>
      <c r="BG264" s="195"/>
      <c r="BH264" s="195"/>
      <c r="BI264" s="195"/>
      <c r="BJ264" s="195"/>
      <c r="BK264" s="194"/>
      <c r="BL264" s="195"/>
      <c r="BM264" s="195"/>
      <c r="BN264" s="195"/>
      <c r="BO264" s="195"/>
      <c r="BP264" s="194"/>
      <c r="BQ264" s="195"/>
      <c r="BR264" s="195"/>
      <c r="BS264" s="195"/>
      <c r="BT264" s="120"/>
      <c r="BU264" s="119"/>
      <c r="BV264" s="120"/>
      <c r="BW264" s="120"/>
      <c r="BX264" s="120"/>
      <c r="BY264" s="189"/>
      <c r="BZ264" s="188"/>
      <c r="CA264" s="189"/>
      <c r="CB264" s="189"/>
      <c r="CC264" s="189"/>
      <c r="CD264" s="189"/>
      <c r="CE264" s="188"/>
      <c r="CF264" s="189"/>
      <c r="CG264" s="189"/>
      <c r="CH264" s="189"/>
      <c r="CI264" s="189"/>
      <c r="CJ264" s="188"/>
      <c r="CK264" s="189"/>
      <c r="CL264" s="189"/>
      <c r="CM264" s="189"/>
      <c r="CN264" s="189"/>
      <c r="CO264" s="140">
        <f>CO262/CO236</f>
        <v>0.589533792538807</v>
      </c>
      <c r="CP264" s="189"/>
      <c r="CQ264" s="189"/>
      <c r="CR264" s="189"/>
      <c r="CS264" s="189"/>
      <c r="CT264" s="140">
        <f t="shared" ref="CT264:DF264" si="1318">CT262/CT236</f>
        <v>0.589317879970117</v>
      </c>
      <c r="CU264" s="291">
        <f t="shared" si="1318"/>
        <v>0.617549854173662</v>
      </c>
      <c r="CV264" s="291">
        <f t="shared" si="1318"/>
        <v>0.625604333697233</v>
      </c>
      <c r="CW264" s="291">
        <f t="shared" si="1318"/>
        <v>0.617642254459097</v>
      </c>
      <c r="CX264" s="291">
        <f t="shared" si="1318"/>
        <v>0.606899845655775</v>
      </c>
      <c r="CY264" s="140">
        <f t="shared" si="1318"/>
        <v>0.616105343496871</v>
      </c>
      <c r="CZ264" s="291">
        <f t="shared" si="1318"/>
        <v>0.64116370235343</v>
      </c>
      <c r="DA264" s="291">
        <f t="shared" si="1318"/>
        <v>0.635126674098621</v>
      </c>
      <c r="DB264" s="291">
        <f t="shared" si="1318"/>
        <v>0.642888761867106</v>
      </c>
      <c r="DC264" s="310">
        <f t="shared" si="1318"/>
        <v>0.631835712041904</v>
      </c>
      <c r="DD264" s="140">
        <f t="shared" si="1318"/>
        <v>0.637460472680917</v>
      </c>
      <c r="DE264" s="291">
        <f t="shared" si="1318"/>
        <v>0.656948755735323</v>
      </c>
      <c r="DF264" s="291">
        <f t="shared" si="1318"/>
        <v>0.642837666883651</v>
      </c>
      <c r="DG264" s="291"/>
      <c r="DH264" s="291"/>
      <c r="DI264" s="140"/>
      <c r="DJ264" s="291"/>
      <c r="DK264" s="291"/>
      <c r="DL264" s="291"/>
      <c r="DM264" s="291"/>
      <c r="DN264" s="140"/>
      <c r="DO264" s="291"/>
      <c r="DP264" s="291"/>
      <c r="DQ264" s="291"/>
      <c r="DR264" s="291"/>
      <c r="DS264" s="140"/>
    </row>
    <row r="265" s="3" customFormat="1" spans="2:123">
      <c r="B265" s="144" t="s">
        <v>379</v>
      </c>
      <c r="C265" s="284"/>
      <c r="D265" s="189"/>
      <c r="E265" s="189"/>
      <c r="F265" s="189"/>
      <c r="G265" s="189"/>
      <c r="H265" s="188"/>
      <c r="I265" s="189"/>
      <c r="J265" s="189"/>
      <c r="K265" s="189"/>
      <c r="L265" s="189"/>
      <c r="M265" s="188"/>
      <c r="N265" s="189"/>
      <c r="O265" s="189"/>
      <c r="P265" s="189"/>
      <c r="Q265" s="189"/>
      <c r="R265" s="188"/>
      <c r="S265" s="189"/>
      <c r="T265" s="189"/>
      <c r="U265" s="189"/>
      <c r="V265" s="189"/>
      <c r="W265" s="188"/>
      <c r="X265" s="189"/>
      <c r="Y265" s="189"/>
      <c r="Z265" s="195"/>
      <c r="AA265" s="195"/>
      <c r="AB265" s="188"/>
      <c r="AC265" s="195"/>
      <c r="AD265" s="195"/>
      <c r="AE265" s="195"/>
      <c r="AF265" s="195"/>
      <c r="AG265" s="194"/>
      <c r="AH265" s="195"/>
      <c r="AI265" s="195"/>
      <c r="AJ265" s="195"/>
      <c r="AK265" s="195"/>
      <c r="AL265" s="194"/>
      <c r="AM265" s="195"/>
      <c r="AN265" s="195"/>
      <c r="AO265" s="195"/>
      <c r="AP265" s="195"/>
      <c r="AQ265" s="194"/>
      <c r="AR265" s="195"/>
      <c r="AS265" s="195"/>
      <c r="AT265" s="195"/>
      <c r="AU265" s="195"/>
      <c r="AV265" s="194"/>
      <c r="AW265" s="195"/>
      <c r="AX265" s="195"/>
      <c r="AY265" s="195"/>
      <c r="AZ265" s="195"/>
      <c r="BA265" s="194"/>
      <c r="BB265" s="195"/>
      <c r="BC265" s="195"/>
      <c r="BD265" s="195"/>
      <c r="BE265" s="195"/>
      <c r="BF265" s="194"/>
      <c r="BG265" s="195"/>
      <c r="BH265" s="195"/>
      <c r="BI265" s="195"/>
      <c r="BJ265" s="195"/>
      <c r="BK265" s="194"/>
      <c r="BL265" s="195"/>
      <c r="BM265" s="195"/>
      <c r="BN265" s="195"/>
      <c r="BO265" s="195"/>
      <c r="BP265" s="194"/>
      <c r="BQ265" s="195"/>
      <c r="BR265" s="195"/>
      <c r="BS265" s="195"/>
      <c r="BT265" s="120"/>
      <c r="BU265" s="119"/>
      <c r="BV265" s="120"/>
      <c r="BW265" s="120"/>
      <c r="BX265" s="120"/>
      <c r="BY265" s="189"/>
      <c r="BZ265" s="188"/>
      <c r="CA265" s="189"/>
      <c r="CB265" s="189"/>
      <c r="CC265" s="189"/>
      <c r="CD265" s="189"/>
      <c r="CE265" s="188"/>
      <c r="CF265" s="189"/>
      <c r="CG265" s="189"/>
      <c r="CH265" s="189"/>
      <c r="CI265" s="189"/>
      <c r="CJ265" s="188"/>
      <c r="CK265" s="189"/>
      <c r="CL265" s="189"/>
      <c r="CM265" s="189"/>
      <c r="CN265" s="189"/>
      <c r="CO265" s="223" t="s">
        <v>208</v>
      </c>
      <c r="CP265" s="189"/>
      <c r="CQ265" s="189"/>
      <c r="CR265" s="189"/>
      <c r="CS265" s="189"/>
      <c r="CT265" s="329">
        <f>(CT264-CO264)*100*100</f>
        <v>-2.15912568690246</v>
      </c>
      <c r="CU265" s="330" t="s">
        <v>208</v>
      </c>
      <c r="CV265" s="330" t="s">
        <v>208</v>
      </c>
      <c r="CW265" s="330" t="s">
        <v>208</v>
      </c>
      <c r="CX265" s="330" t="s">
        <v>208</v>
      </c>
      <c r="CY265" s="329">
        <f t="shared" ref="CY265:DF265" si="1319">(CY264-CT264)*100*100</f>
        <v>267.874635267539</v>
      </c>
      <c r="CZ265" s="330">
        <f t="shared" si="1319"/>
        <v>236.138481797685</v>
      </c>
      <c r="DA265" s="330">
        <f t="shared" si="1319"/>
        <v>95.2234040138777</v>
      </c>
      <c r="DB265" s="330">
        <f t="shared" si="1319"/>
        <v>252.465074080087</v>
      </c>
      <c r="DC265" s="333">
        <f t="shared" si="1319"/>
        <v>249.358663861299</v>
      </c>
      <c r="DD265" s="329">
        <f t="shared" si="1319"/>
        <v>213.551291840457</v>
      </c>
      <c r="DE265" s="330">
        <f t="shared" si="1319"/>
        <v>157.850533818932</v>
      </c>
      <c r="DF265" s="330">
        <f t="shared" si="1319"/>
        <v>77.1099278503029</v>
      </c>
      <c r="DG265" s="330"/>
      <c r="DH265" s="330"/>
      <c r="DI265" s="329"/>
      <c r="DJ265" s="330"/>
      <c r="DK265" s="330"/>
      <c r="DL265" s="330"/>
      <c r="DM265" s="330"/>
      <c r="DN265" s="329"/>
      <c r="DO265" s="330"/>
      <c r="DP265" s="330"/>
      <c r="DQ265" s="330"/>
      <c r="DR265" s="330"/>
      <c r="DS265" s="329"/>
    </row>
    <row r="266" s="3" customFormat="1" spans="2:123">
      <c r="B266" s="144"/>
      <c r="C266" s="284"/>
      <c r="D266" s="189"/>
      <c r="E266" s="189"/>
      <c r="F266" s="189"/>
      <c r="G266" s="189"/>
      <c r="H266" s="188"/>
      <c r="I266" s="189"/>
      <c r="J266" s="189"/>
      <c r="K266" s="189"/>
      <c r="L266" s="189"/>
      <c r="M266" s="188"/>
      <c r="N266" s="189"/>
      <c r="O266" s="189"/>
      <c r="P266" s="189"/>
      <c r="Q266" s="189"/>
      <c r="R266" s="188"/>
      <c r="S266" s="189"/>
      <c r="T266" s="189"/>
      <c r="U266" s="189"/>
      <c r="V266" s="189"/>
      <c r="W266" s="188"/>
      <c r="X266" s="189"/>
      <c r="Y266" s="189"/>
      <c r="Z266" s="195"/>
      <c r="AA266" s="195"/>
      <c r="AB266" s="188"/>
      <c r="AC266" s="195"/>
      <c r="AD266" s="195"/>
      <c r="AE266" s="195"/>
      <c r="AF266" s="195"/>
      <c r="AG266" s="194"/>
      <c r="AH266" s="195"/>
      <c r="AI266" s="195"/>
      <c r="AJ266" s="195"/>
      <c r="AK266" s="195"/>
      <c r="AL266" s="194"/>
      <c r="AM266" s="195"/>
      <c r="AN266" s="195"/>
      <c r="AO266" s="195"/>
      <c r="AP266" s="195"/>
      <c r="AQ266" s="194"/>
      <c r="AR266" s="195"/>
      <c r="AS266" s="195"/>
      <c r="AT266" s="195"/>
      <c r="AU266" s="195"/>
      <c r="AV266" s="194"/>
      <c r="AW266" s="195"/>
      <c r="AX266" s="195"/>
      <c r="AY266" s="195"/>
      <c r="AZ266" s="195"/>
      <c r="BA266" s="194"/>
      <c r="BB266" s="195"/>
      <c r="BC266" s="195"/>
      <c r="BD266" s="195"/>
      <c r="BE266" s="195"/>
      <c r="BF266" s="194"/>
      <c r="BG266" s="195"/>
      <c r="BH266" s="195"/>
      <c r="BI266" s="195"/>
      <c r="BJ266" s="195"/>
      <c r="BK266" s="194"/>
      <c r="BL266" s="195"/>
      <c r="BM266" s="195"/>
      <c r="BN266" s="195"/>
      <c r="BO266" s="195"/>
      <c r="BP266" s="194"/>
      <c r="BQ266" s="195"/>
      <c r="BR266" s="195"/>
      <c r="BS266" s="195"/>
      <c r="BT266" s="120"/>
      <c r="BU266" s="119"/>
      <c r="BV266" s="120"/>
      <c r="BW266" s="120"/>
      <c r="BX266" s="120"/>
      <c r="BY266" s="189"/>
      <c r="BZ266" s="188"/>
      <c r="CA266" s="189"/>
      <c r="CB266" s="189"/>
      <c r="CC266" s="189"/>
      <c r="CD266" s="189"/>
      <c r="CE266" s="188"/>
      <c r="CF266" s="189"/>
      <c r="CG266" s="189"/>
      <c r="CH266" s="189"/>
      <c r="CI266" s="189"/>
      <c r="CJ266" s="188"/>
      <c r="CK266" s="189"/>
      <c r="CL266" s="189"/>
      <c r="CM266" s="189"/>
      <c r="CN266" s="189"/>
      <c r="CO266" s="188"/>
      <c r="CP266" s="189"/>
      <c r="CQ266" s="189"/>
      <c r="CR266" s="189"/>
      <c r="CS266" s="189"/>
      <c r="CT266" s="188"/>
      <c r="CU266" s="335"/>
      <c r="CV266" s="335"/>
      <c r="CW266" s="335"/>
      <c r="CX266" s="335"/>
      <c r="CY266" s="336"/>
      <c r="CZ266" s="224"/>
      <c r="DA266" s="224"/>
      <c r="DB266" s="224"/>
      <c r="DC266" s="228"/>
      <c r="DD266" s="336"/>
      <c r="DE266" s="189"/>
      <c r="DF266" s="189"/>
      <c r="DG266" s="239"/>
      <c r="DH266" s="239"/>
      <c r="DI266" s="361"/>
      <c r="DJ266" s="239"/>
      <c r="DK266" s="239"/>
      <c r="DL266" s="239"/>
      <c r="DM266" s="239"/>
      <c r="DN266" s="361"/>
      <c r="DO266" s="239"/>
      <c r="DP266" s="239"/>
      <c r="DQ266" s="239"/>
      <c r="DR266" s="239"/>
      <c r="DS266" s="361"/>
    </row>
    <row r="267" s="3" customFormat="1" hidden="1" outlineLevel="1" spans="2:123">
      <c r="B267" s="33" t="s">
        <v>323</v>
      </c>
      <c r="C267" s="284"/>
      <c r="D267" s="189"/>
      <c r="E267" s="189"/>
      <c r="F267" s="189"/>
      <c r="G267" s="189"/>
      <c r="H267" s="188"/>
      <c r="I267" s="189"/>
      <c r="J267" s="189"/>
      <c r="K267" s="189"/>
      <c r="L267" s="189"/>
      <c r="M267" s="188"/>
      <c r="N267" s="189"/>
      <c r="O267" s="189"/>
      <c r="P267" s="189"/>
      <c r="Q267" s="189"/>
      <c r="R267" s="188"/>
      <c r="S267" s="189"/>
      <c r="T267" s="189"/>
      <c r="U267" s="189"/>
      <c r="V267" s="189"/>
      <c r="W267" s="188"/>
      <c r="X267" s="189"/>
      <c r="Y267" s="189"/>
      <c r="Z267" s="195"/>
      <c r="AA267" s="195"/>
      <c r="AB267" s="188"/>
      <c r="AC267" s="195"/>
      <c r="AD267" s="195"/>
      <c r="AE267" s="195"/>
      <c r="AF267" s="195"/>
      <c r="AG267" s="194"/>
      <c r="AH267" s="195"/>
      <c r="AI267" s="195"/>
      <c r="AJ267" s="195"/>
      <c r="AK267" s="195"/>
      <c r="AL267" s="194"/>
      <c r="AM267" s="195"/>
      <c r="AN267" s="195"/>
      <c r="AO267" s="195"/>
      <c r="AP267" s="195"/>
      <c r="AQ267" s="194"/>
      <c r="AR267" s="195"/>
      <c r="AS267" s="195"/>
      <c r="AT267" s="195"/>
      <c r="AU267" s="195"/>
      <c r="AV267" s="194"/>
      <c r="AW267" s="195"/>
      <c r="AX267" s="195"/>
      <c r="AY267" s="195"/>
      <c r="AZ267" s="195"/>
      <c r="BA267" s="194"/>
      <c r="BB267" s="195"/>
      <c r="BC267" s="195"/>
      <c r="BD267" s="195"/>
      <c r="BE267" s="195"/>
      <c r="BF267" s="194"/>
      <c r="BG267" s="195"/>
      <c r="BH267" s="195"/>
      <c r="BI267" s="195"/>
      <c r="BJ267" s="195"/>
      <c r="BK267" s="194"/>
      <c r="BL267" s="195"/>
      <c r="BM267" s="195"/>
      <c r="BN267" s="195"/>
      <c r="BO267" s="195"/>
      <c r="BP267" s="194"/>
      <c r="BQ267" s="195"/>
      <c r="BR267" s="195"/>
      <c r="BS267" s="195"/>
      <c r="BT267" s="120"/>
      <c r="BU267" s="119"/>
      <c r="BV267" s="120"/>
      <c r="BW267" s="120"/>
      <c r="BX267" s="120"/>
      <c r="BY267" s="189"/>
      <c r="BZ267" s="188"/>
      <c r="CA267" s="189"/>
      <c r="CB267" s="189"/>
      <c r="CC267" s="189"/>
      <c r="CD267" s="189"/>
      <c r="CE267" s="188"/>
      <c r="CF267" s="189"/>
      <c r="CG267" s="189"/>
      <c r="CH267" s="189"/>
      <c r="CI267" s="189"/>
      <c r="CJ267" s="188"/>
      <c r="CK267" s="189"/>
      <c r="CL267" s="189"/>
      <c r="CM267" s="189"/>
      <c r="CN267" s="189"/>
      <c r="CO267" s="124">
        <f>CO272-CO262</f>
        <v>-143.003</v>
      </c>
      <c r="CP267" s="189"/>
      <c r="CQ267" s="189"/>
      <c r="CR267" s="189"/>
      <c r="CS267" s="189"/>
      <c r="CT267" s="124">
        <f t="shared" ref="CT267:DD267" si="1320">CT272-CT262</f>
        <v>-230.645</v>
      </c>
      <c r="CU267" s="125">
        <f t="shared" si="1320"/>
        <v>-67.825</v>
      </c>
      <c r="CV267" s="125">
        <f t="shared" si="1320"/>
        <v>-77.473</v>
      </c>
      <c r="CW267" s="125">
        <f t="shared" si="1320"/>
        <v>-86.019</v>
      </c>
      <c r="CX267" s="125">
        <f t="shared" si="1320"/>
        <v>-97.5509999999998</v>
      </c>
      <c r="CY267" s="124">
        <f t="shared" si="1320"/>
        <v>-328.868</v>
      </c>
      <c r="CZ267" s="125">
        <f t="shared" si="1320"/>
        <v>-82.378</v>
      </c>
      <c r="DA267" s="125">
        <f t="shared" si="1320"/>
        <v>-97.05</v>
      </c>
      <c r="DB267" s="125">
        <f t="shared" si="1320"/>
        <v>-126.16</v>
      </c>
      <c r="DC267" s="220">
        <f t="shared" ref="DC267" si="1321">DC272-DC262</f>
        <v>-111.904</v>
      </c>
      <c r="DD267" s="124">
        <f t="shared" si="1320"/>
        <v>-417.492</v>
      </c>
      <c r="DE267" s="125">
        <f t="shared" ref="DE267:DF267" si="1322">DE272-DE262</f>
        <v>-111.212</v>
      </c>
      <c r="DF267" s="125">
        <f t="shared" si="1322"/>
        <v>-110.426</v>
      </c>
      <c r="DG267" s="126"/>
      <c r="DH267" s="126"/>
      <c r="DI267" s="127"/>
      <c r="DJ267" s="126"/>
      <c r="DK267" s="126"/>
      <c r="DL267" s="126"/>
      <c r="DM267" s="126"/>
      <c r="DN267" s="127"/>
      <c r="DO267" s="126"/>
      <c r="DP267" s="126"/>
      <c r="DQ267" s="126"/>
      <c r="DR267" s="126"/>
      <c r="DS267" s="127"/>
    </row>
    <row r="268" s="3" customFormat="1" hidden="1" outlineLevel="1" spans="2:123">
      <c r="B268" s="144" t="s">
        <v>370</v>
      </c>
      <c r="C268" s="284"/>
      <c r="D268" s="189"/>
      <c r="E268" s="189"/>
      <c r="F268" s="189"/>
      <c r="G268" s="189"/>
      <c r="H268" s="188"/>
      <c r="I268" s="189"/>
      <c r="J268" s="189"/>
      <c r="K268" s="189"/>
      <c r="L268" s="189"/>
      <c r="M268" s="188"/>
      <c r="N268" s="189"/>
      <c r="O268" s="189"/>
      <c r="P268" s="189"/>
      <c r="Q268" s="189"/>
      <c r="R268" s="188"/>
      <c r="S268" s="189"/>
      <c r="T268" s="189"/>
      <c r="U268" s="189"/>
      <c r="V268" s="189"/>
      <c r="W268" s="188"/>
      <c r="X268" s="189"/>
      <c r="Y268" s="189"/>
      <c r="Z268" s="195"/>
      <c r="AA268" s="195"/>
      <c r="AB268" s="188"/>
      <c r="AC268" s="195"/>
      <c r="AD268" s="195"/>
      <c r="AE268" s="195"/>
      <c r="AF268" s="195"/>
      <c r="AG268" s="194"/>
      <c r="AH268" s="195"/>
      <c r="AI268" s="195"/>
      <c r="AJ268" s="195"/>
      <c r="AK268" s="195"/>
      <c r="AL268" s="194"/>
      <c r="AM268" s="195"/>
      <c r="AN268" s="195"/>
      <c r="AO268" s="195"/>
      <c r="AP268" s="195"/>
      <c r="AQ268" s="194"/>
      <c r="AR268" s="195"/>
      <c r="AS268" s="195"/>
      <c r="AT268" s="195"/>
      <c r="AU268" s="195"/>
      <c r="AV268" s="194"/>
      <c r="AW268" s="195"/>
      <c r="AX268" s="195"/>
      <c r="AY268" s="195"/>
      <c r="AZ268" s="195"/>
      <c r="BA268" s="194"/>
      <c r="BB268" s="195"/>
      <c r="BC268" s="195"/>
      <c r="BD268" s="195"/>
      <c r="BE268" s="195"/>
      <c r="BF268" s="194"/>
      <c r="BG268" s="195"/>
      <c r="BH268" s="195"/>
      <c r="BI268" s="195"/>
      <c r="BJ268" s="195"/>
      <c r="BK268" s="194"/>
      <c r="BL268" s="195"/>
      <c r="BM268" s="195"/>
      <c r="BN268" s="195"/>
      <c r="BO268" s="195"/>
      <c r="BP268" s="194"/>
      <c r="BQ268" s="195"/>
      <c r="BR268" s="195"/>
      <c r="BS268" s="195"/>
      <c r="BT268" s="120"/>
      <c r="BU268" s="119"/>
      <c r="BV268" s="120"/>
      <c r="BW268" s="120"/>
      <c r="BX268" s="120"/>
      <c r="BY268" s="189"/>
      <c r="BZ268" s="188"/>
      <c r="CA268" s="189"/>
      <c r="CB268" s="189"/>
      <c r="CC268" s="189"/>
      <c r="CD268" s="189"/>
      <c r="CE268" s="188"/>
      <c r="CF268" s="189"/>
      <c r="CG268" s="189"/>
      <c r="CH268" s="189"/>
      <c r="CI268" s="189"/>
      <c r="CJ268" s="188"/>
      <c r="CK268" s="189"/>
      <c r="CL268" s="189"/>
      <c r="CM268" s="189"/>
      <c r="CN268" s="189"/>
      <c r="CO268" s="749" t="s">
        <v>208</v>
      </c>
      <c r="CP268" s="189"/>
      <c r="CQ268" s="189"/>
      <c r="CR268" s="189"/>
      <c r="CS268" s="189"/>
      <c r="CT268" s="140">
        <f>CT267/CO267-1</f>
        <v>0.612868261505003</v>
      </c>
      <c r="CU268" s="291" t="s">
        <v>208</v>
      </c>
      <c r="CV268" s="291" t="s">
        <v>208</v>
      </c>
      <c r="CW268" s="291" t="s">
        <v>208</v>
      </c>
      <c r="CX268" s="291" t="s">
        <v>208</v>
      </c>
      <c r="CY268" s="140">
        <f t="shared" ref="CY268:DD268" si="1323">CY267/CT267-1</f>
        <v>0.425862255847731</v>
      </c>
      <c r="CZ268" s="291">
        <f t="shared" si="1323"/>
        <v>0.214566900110579</v>
      </c>
      <c r="DA268" s="291">
        <f t="shared" si="1323"/>
        <v>0.252694487111639</v>
      </c>
      <c r="DB268" s="291">
        <f t="shared" si="1323"/>
        <v>0.466652716260361</v>
      </c>
      <c r="DC268" s="310">
        <f t="shared" si="1323"/>
        <v>0.14713329437935</v>
      </c>
      <c r="DD268" s="140">
        <f t="shared" si="1323"/>
        <v>0.269481980612282</v>
      </c>
      <c r="DE268" s="291">
        <f t="shared" ref="DE268:DF268" si="1324">DE267/CZ267-1</f>
        <v>0.350020636577727</v>
      </c>
      <c r="DF268" s="291">
        <f t="shared" si="1324"/>
        <v>0.137825862957239</v>
      </c>
      <c r="DG268" s="291"/>
      <c r="DH268" s="291"/>
      <c r="DI268" s="140"/>
      <c r="DJ268" s="291"/>
      <c r="DK268" s="291"/>
      <c r="DL268" s="291"/>
      <c r="DM268" s="291"/>
      <c r="DN268" s="140"/>
      <c r="DO268" s="291"/>
      <c r="DP268" s="291"/>
      <c r="DQ268" s="291"/>
      <c r="DR268" s="291"/>
      <c r="DS268" s="140"/>
    </row>
    <row r="269" s="3" customFormat="1" hidden="1" outlineLevel="1" spans="2:123">
      <c r="B269" s="144" t="s">
        <v>396</v>
      </c>
      <c r="C269" s="284"/>
      <c r="D269" s="189"/>
      <c r="E269" s="189"/>
      <c r="F269" s="189"/>
      <c r="G269" s="189"/>
      <c r="H269" s="188"/>
      <c r="I269" s="189"/>
      <c r="J269" s="189"/>
      <c r="K269" s="189"/>
      <c r="L269" s="189"/>
      <c r="M269" s="188"/>
      <c r="N269" s="189"/>
      <c r="O269" s="189"/>
      <c r="P269" s="189"/>
      <c r="Q269" s="189"/>
      <c r="R269" s="188"/>
      <c r="S269" s="189"/>
      <c r="T269" s="189"/>
      <c r="U269" s="189"/>
      <c r="V269" s="189"/>
      <c r="W269" s="188"/>
      <c r="X269" s="189"/>
      <c r="Y269" s="189"/>
      <c r="Z269" s="195"/>
      <c r="AA269" s="195"/>
      <c r="AB269" s="188"/>
      <c r="AC269" s="195"/>
      <c r="AD269" s="195"/>
      <c r="AE269" s="195"/>
      <c r="AF269" s="195"/>
      <c r="AG269" s="194"/>
      <c r="AH269" s="195"/>
      <c r="AI269" s="195"/>
      <c r="AJ269" s="195"/>
      <c r="AK269" s="195"/>
      <c r="AL269" s="194"/>
      <c r="AM269" s="195"/>
      <c r="AN269" s="195"/>
      <c r="AO269" s="195"/>
      <c r="AP269" s="195"/>
      <c r="AQ269" s="194"/>
      <c r="AR269" s="195"/>
      <c r="AS269" s="195"/>
      <c r="AT269" s="195"/>
      <c r="AU269" s="195"/>
      <c r="AV269" s="194"/>
      <c r="AW269" s="195"/>
      <c r="AX269" s="195"/>
      <c r="AY269" s="195"/>
      <c r="AZ269" s="195"/>
      <c r="BA269" s="194"/>
      <c r="BB269" s="195"/>
      <c r="BC269" s="195"/>
      <c r="BD269" s="195"/>
      <c r="BE269" s="195"/>
      <c r="BF269" s="194"/>
      <c r="BG269" s="195"/>
      <c r="BH269" s="195"/>
      <c r="BI269" s="195"/>
      <c r="BJ269" s="195"/>
      <c r="BK269" s="194"/>
      <c r="BL269" s="195"/>
      <c r="BM269" s="195"/>
      <c r="BN269" s="195"/>
      <c r="BO269" s="195"/>
      <c r="BP269" s="194"/>
      <c r="BQ269" s="195"/>
      <c r="BR269" s="195"/>
      <c r="BS269" s="195"/>
      <c r="BT269" s="120"/>
      <c r="BU269" s="119"/>
      <c r="BV269" s="120"/>
      <c r="BW269" s="120"/>
      <c r="BX269" s="120"/>
      <c r="BY269" s="189"/>
      <c r="BZ269" s="188"/>
      <c r="CA269" s="189"/>
      <c r="CB269" s="189"/>
      <c r="CC269" s="189"/>
      <c r="CD269" s="189"/>
      <c r="CE269" s="188"/>
      <c r="CF269" s="189"/>
      <c r="CG269" s="189"/>
      <c r="CH269" s="189"/>
      <c r="CI269" s="189"/>
      <c r="CJ269" s="188"/>
      <c r="CK269" s="189"/>
      <c r="CL269" s="189"/>
      <c r="CM269" s="189"/>
      <c r="CN269" s="189"/>
      <c r="CO269" s="140">
        <f>-CO267/CO236</f>
        <v>0.248052481947189</v>
      </c>
      <c r="CP269" s="189"/>
      <c r="CQ269" s="189"/>
      <c r="CR269" s="189"/>
      <c r="CS269" s="189"/>
      <c r="CT269" s="140">
        <f t="shared" ref="CT269:DF269" si="1325">-CT267/CT236</f>
        <v>0.239317879970117</v>
      </c>
      <c r="CU269" s="291">
        <f t="shared" si="1325"/>
        <v>0.223265719947595</v>
      </c>
      <c r="CV269" s="291">
        <f t="shared" si="1325"/>
        <v>0.246580879661605</v>
      </c>
      <c r="CW269" s="291">
        <f t="shared" si="1325"/>
        <v>0.270212792692044</v>
      </c>
      <c r="CX269" s="291">
        <f t="shared" si="1325"/>
        <v>0.229518803644029</v>
      </c>
      <c r="CY269" s="140">
        <f t="shared" si="1325"/>
        <v>0.241577214165192</v>
      </c>
      <c r="CZ269" s="291">
        <f t="shared" si="1325"/>
        <v>0.223791839739637</v>
      </c>
      <c r="DA269" s="291">
        <f t="shared" si="1325"/>
        <v>0.247010674526213</v>
      </c>
      <c r="DB269" s="291">
        <f t="shared" si="1325"/>
        <v>0.271100777459268</v>
      </c>
      <c r="DC269" s="310">
        <f t="shared" si="1325"/>
        <v>0.211763726302802</v>
      </c>
      <c r="DD269" s="140">
        <f t="shared" si="1325"/>
        <v>0.237914427806261</v>
      </c>
      <c r="DE269" s="291">
        <f t="shared" si="1325"/>
        <v>0.232468984834708</v>
      </c>
      <c r="DF269" s="291">
        <f t="shared" si="1325"/>
        <v>0.271253638585588</v>
      </c>
      <c r="DG269" s="291"/>
      <c r="DH269" s="291"/>
      <c r="DI269" s="140"/>
      <c r="DJ269" s="291"/>
      <c r="DK269" s="291"/>
      <c r="DL269" s="291"/>
      <c r="DM269" s="291"/>
      <c r="DN269" s="140"/>
      <c r="DO269" s="291"/>
      <c r="DP269" s="291"/>
      <c r="DQ269" s="291"/>
      <c r="DR269" s="291"/>
      <c r="DS269" s="140"/>
    </row>
    <row r="270" s="3" customFormat="1" hidden="1" outlineLevel="1" spans="2:123">
      <c r="B270" s="144" t="s">
        <v>379</v>
      </c>
      <c r="C270" s="284"/>
      <c r="D270" s="189"/>
      <c r="E270" s="189"/>
      <c r="F270" s="189"/>
      <c r="G270" s="189"/>
      <c r="H270" s="188"/>
      <c r="I270" s="189"/>
      <c r="J270" s="189"/>
      <c r="K270" s="189"/>
      <c r="L270" s="189"/>
      <c r="M270" s="188"/>
      <c r="N270" s="189"/>
      <c r="O270" s="189"/>
      <c r="P270" s="189"/>
      <c r="Q270" s="189"/>
      <c r="R270" s="188"/>
      <c r="S270" s="189"/>
      <c r="T270" s="189"/>
      <c r="U270" s="189"/>
      <c r="V270" s="189"/>
      <c r="W270" s="188"/>
      <c r="X270" s="189"/>
      <c r="Y270" s="189"/>
      <c r="Z270" s="195"/>
      <c r="AA270" s="195"/>
      <c r="AB270" s="188"/>
      <c r="AC270" s="195"/>
      <c r="AD270" s="195"/>
      <c r="AE270" s="195"/>
      <c r="AF270" s="195"/>
      <c r="AG270" s="194"/>
      <c r="AH270" s="195"/>
      <c r="AI270" s="195"/>
      <c r="AJ270" s="195"/>
      <c r="AK270" s="195"/>
      <c r="AL270" s="194"/>
      <c r="AM270" s="195"/>
      <c r="AN270" s="195"/>
      <c r="AO270" s="195"/>
      <c r="AP270" s="195"/>
      <c r="AQ270" s="194"/>
      <c r="AR270" s="195"/>
      <c r="AS270" s="195"/>
      <c r="AT270" s="195"/>
      <c r="AU270" s="195"/>
      <c r="AV270" s="194"/>
      <c r="AW270" s="195"/>
      <c r="AX270" s="195"/>
      <c r="AY270" s="195"/>
      <c r="AZ270" s="195"/>
      <c r="BA270" s="194"/>
      <c r="BB270" s="195"/>
      <c r="BC270" s="195"/>
      <c r="BD270" s="195"/>
      <c r="BE270" s="195"/>
      <c r="BF270" s="194"/>
      <c r="BG270" s="195"/>
      <c r="BH270" s="195"/>
      <c r="BI270" s="195"/>
      <c r="BJ270" s="195"/>
      <c r="BK270" s="194"/>
      <c r="BL270" s="195"/>
      <c r="BM270" s="195"/>
      <c r="BN270" s="195"/>
      <c r="BO270" s="195"/>
      <c r="BP270" s="194"/>
      <c r="BQ270" s="195"/>
      <c r="BR270" s="195"/>
      <c r="BS270" s="195"/>
      <c r="BT270" s="120"/>
      <c r="BU270" s="119"/>
      <c r="BV270" s="120"/>
      <c r="BW270" s="120"/>
      <c r="BX270" s="120"/>
      <c r="BY270" s="189"/>
      <c r="BZ270" s="188"/>
      <c r="CA270" s="189"/>
      <c r="CB270" s="189"/>
      <c r="CC270" s="189"/>
      <c r="CD270" s="189"/>
      <c r="CE270" s="188"/>
      <c r="CF270" s="189"/>
      <c r="CG270" s="189"/>
      <c r="CH270" s="189"/>
      <c r="CI270" s="189"/>
      <c r="CJ270" s="188"/>
      <c r="CK270" s="189"/>
      <c r="CL270" s="189"/>
      <c r="CM270" s="189"/>
      <c r="CN270" s="189"/>
      <c r="CO270" s="749" t="s">
        <v>208</v>
      </c>
      <c r="CP270" s="189"/>
      <c r="CQ270" s="189"/>
      <c r="CR270" s="189"/>
      <c r="CS270" s="189"/>
      <c r="CT270" s="223">
        <f>(CT269-CO269)*100*100</f>
        <v>-87.3460197707146</v>
      </c>
      <c r="CU270" s="224" t="s">
        <v>208</v>
      </c>
      <c r="CV270" s="224" t="s">
        <v>208</v>
      </c>
      <c r="CW270" s="224" t="s">
        <v>208</v>
      </c>
      <c r="CX270" s="224" t="s">
        <v>208</v>
      </c>
      <c r="CY270" s="223">
        <f t="shared" ref="CY270:DD270" si="1326">(CY269-CT269)*100*100</f>
        <v>22.5933419507485</v>
      </c>
      <c r="CZ270" s="224">
        <f t="shared" si="1326"/>
        <v>5.2611979204209</v>
      </c>
      <c r="DA270" s="224">
        <f t="shared" si="1326"/>
        <v>4.29794864607896</v>
      </c>
      <c r="DB270" s="224">
        <f t="shared" si="1326"/>
        <v>8.87984767223959</v>
      </c>
      <c r="DC270" s="228">
        <f t="shared" si="1326"/>
        <v>-177.550773412277</v>
      </c>
      <c r="DD270" s="223">
        <f t="shared" si="1326"/>
        <v>-36.627863589305</v>
      </c>
      <c r="DE270" s="224">
        <f t="shared" ref="DE270:DF270" si="1327">(DE269-CZ269)*100*100</f>
        <v>86.7714509507106</v>
      </c>
      <c r="DF270" s="224">
        <f t="shared" si="1327"/>
        <v>242.429640593752</v>
      </c>
      <c r="DG270" s="330"/>
      <c r="DH270" s="330"/>
      <c r="DI270" s="329"/>
      <c r="DJ270" s="330"/>
      <c r="DK270" s="330"/>
      <c r="DL270" s="330"/>
      <c r="DM270" s="330"/>
      <c r="DN270" s="329"/>
      <c r="DO270" s="330"/>
      <c r="DP270" s="330"/>
      <c r="DQ270" s="330"/>
      <c r="DR270" s="330"/>
      <c r="DS270" s="329"/>
    </row>
    <row r="271" s="3" customFormat="1" hidden="1" outlineLevel="1" spans="2:123">
      <c r="B271" s="130"/>
      <c r="C271" s="284"/>
      <c r="D271" s="189"/>
      <c r="E271" s="189"/>
      <c r="F271" s="189"/>
      <c r="G271" s="189"/>
      <c r="H271" s="188"/>
      <c r="I271" s="189"/>
      <c r="J271" s="189"/>
      <c r="K271" s="189"/>
      <c r="L271" s="189"/>
      <c r="M271" s="188"/>
      <c r="N271" s="189"/>
      <c r="O271" s="189"/>
      <c r="P271" s="189"/>
      <c r="Q271" s="189"/>
      <c r="R271" s="188"/>
      <c r="S271" s="189"/>
      <c r="T271" s="189"/>
      <c r="U271" s="189"/>
      <c r="V271" s="189"/>
      <c r="W271" s="188"/>
      <c r="X271" s="189"/>
      <c r="Y271" s="189"/>
      <c r="Z271" s="195"/>
      <c r="AA271" s="195"/>
      <c r="AB271" s="188"/>
      <c r="AC271" s="195"/>
      <c r="AD271" s="195"/>
      <c r="AE271" s="195"/>
      <c r="AF271" s="195"/>
      <c r="AG271" s="194"/>
      <c r="AH271" s="195"/>
      <c r="AI271" s="195"/>
      <c r="AJ271" s="195"/>
      <c r="AK271" s="195"/>
      <c r="AL271" s="194"/>
      <c r="AM271" s="195"/>
      <c r="AN271" s="195"/>
      <c r="AO271" s="195"/>
      <c r="AP271" s="195"/>
      <c r="AQ271" s="194"/>
      <c r="AR271" s="195"/>
      <c r="AS271" s="195"/>
      <c r="AT271" s="195"/>
      <c r="AU271" s="195"/>
      <c r="AV271" s="194"/>
      <c r="AW271" s="195"/>
      <c r="AX271" s="195"/>
      <c r="AY271" s="195"/>
      <c r="AZ271" s="195"/>
      <c r="BA271" s="194"/>
      <c r="BB271" s="195"/>
      <c r="BC271" s="195"/>
      <c r="BD271" s="195"/>
      <c r="BE271" s="195"/>
      <c r="BF271" s="194"/>
      <c r="BG271" s="195"/>
      <c r="BH271" s="195"/>
      <c r="BI271" s="195"/>
      <c r="BJ271" s="195"/>
      <c r="BK271" s="194"/>
      <c r="BL271" s="195"/>
      <c r="BM271" s="195"/>
      <c r="BN271" s="195"/>
      <c r="BO271" s="195"/>
      <c r="BP271" s="194"/>
      <c r="BQ271" s="195"/>
      <c r="BR271" s="195"/>
      <c r="BS271" s="195"/>
      <c r="BT271" s="120"/>
      <c r="BU271" s="119"/>
      <c r="BV271" s="120"/>
      <c r="BW271" s="120"/>
      <c r="BX271" s="120"/>
      <c r="BY271" s="189"/>
      <c r="BZ271" s="188"/>
      <c r="CA271" s="189"/>
      <c r="CB271" s="189"/>
      <c r="CC271" s="189"/>
      <c r="CD271" s="189"/>
      <c r="CE271" s="188"/>
      <c r="CF271" s="189"/>
      <c r="CG271" s="189"/>
      <c r="CH271" s="189"/>
      <c r="CI271" s="189"/>
      <c r="CJ271" s="188"/>
      <c r="CK271" s="189"/>
      <c r="CL271" s="189"/>
      <c r="CM271" s="189"/>
      <c r="CN271" s="189"/>
      <c r="CO271" s="188"/>
      <c r="CP271" s="189"/>
      <c r="CQ271" s="189"/>
      <c r="CR271" s="189"/>
      <c r="CS271" s="189"/>
      <c r="CT271" s="188"/>
      <c r="CU271" s="189"/>
      <c r="CV271" s="189"/>
      <c r="CW271" s="189"/>
      <c r="CX271" s="189"/>
      <c r="CY271" s="188"/>
      <c r="CZ271" s="189"/>
      <c r="DA271" s="189"/>
      <c r="DB271" s="189"/>
      <c r="DC271" s="284"/>
      <c r="DD271" s="188"/>
      <c r="DE271" s="189"/>
      <c r="DF271" s="189"/>
      <c r="DG271" s="239"/>
      <c r="DH271" s="239"/>
      <c r="DI271" s="238"/>
      <c r="DJ271" s="239"/>
      <c r="DK271" s="239"/>
      <c r="DL271" s="239"/>
      <c r="DM271" s="239"/>
      <c r="DN271" s="238"/>
      <c r="DO271" s="239"/>
      <c r="DP271" s="239"/>
      <c r="DQ271" s="239"/>
      <c r="DR271" s="239"/>
      <c r="DS271" s="238"/>
    </row>
    <row r="272" s="89" customFormat="1" collapsed="1" spans="2:123">
      <c r="B272" s="175" t="s">
        <v>397</v>
      </c>
      <c r="C272" s="337"/>
      <c r="D272" s="132"/>
      <c r="E272" s="132"/>
      <c r="F272" s="132"/>
      <c r="G272" s="132"/>
      <c r="H272" s="131"/>
      <c r="I272" s="132"/>
      <c r="J272" s="132"/>
      <c r="K272" s="132"/>
      <c r="L272" s="132"/>
      <c r="M272" s="131"/>
      <c r="N272" s="132"/>
      <c r="O272" s="132"/>
      <c r="P272" s="132"/>
      <c r="Q272" s="132"/>
      <c r="R272" s="131"/>
      <c r="S272" s="132"/>
      <c r="T272" s="132"/>
      <c r="U272" s="132"/>
      <c r="V272" s="132"/>
      <c r="W272" s="131"/>
      <c r="X272" s="132"/>
      <c r="Y272" s="132"/>
      <c r="Z272" s="132"/>
      <c r="AA272" s="132"/>
      <c r="AB272" s="131"/>
      <c r="AC272" s="132"/>
      <c r="AD272" s="132"/>
      <c r="AE272" s="132"/>
      <c r="AF272" s="132"/>
      <c r="AG272" s="131"/>
      <c r="AH272" s="132"/>
      <c r="AI272" s="132"/>
      <c r="AJ272" s="132"/>
      <c r="AK272" s="132"/>
      <c r="AL272" s="131"/>
      <c r="AM272" s="132"/>
      <c r="AN272" s="132"/>
      <c r="AO272" s="132"/>
      <c r="AP272" s="132"/>
      <c r="AQ272" s="131"/>
      <c r="AR272" s="132"/>
      <c r="AS272" s="132"/>
      <c r="AT272" s="132"/>
      <c r="AU272" s="132"/>
      <c r="AV272" s="131"/>
      <c r="AW272" s="132"/>
      <c r="AX272" s="132"/>
      <c r="AY272" s="132"/>
      <c r="AZ272" s="132"/>
      <c r="BA272" s="131"/>
      <c r="BB272" s="132"/>
      <c r="BC272" s="132"/>
      <c r="BD272" s="132"/>
      <c r="BE272" s="132"/>
      <c r="BF272" s="131"/>
      <c r="BG272" s="132"/>
      <c r="BH272" s="132"/>
      <c r="BI272" s="132"/>
      <c r="BJ272" s="132"/>
      <c r="BK272" s="131"/>
      <c r="BL272" s="132"/>
      <c r="BM272" s="132"/>
      <c r="BN272" s="132"/>
      <c r="BO272" s="132"/>
      <c r="BP272" s="131"/>
      <c r="BQ272" s="132"/>
      <c r="BR272" s="132"/>
      <c r="BS272" s="132"/>
      <c r="BT272" s="125"/>
      <c r="BU272" s="124"/>
      <c r="BV272" s="125"/>
      <c r="BW272" s="125"/>
      <c r="BX272" s="125"/>
      <c r="BY272" s="132"/>
      <c r="BZ272" s="131"/>
      <c r="CA272" s="132"/>
      <c r="CB272" s="132"/>
      <c r="CC272" s="132"/>
      <c r="CD272" s="132"/>
      <c r="CE272" s="131"/>
      <c r="CF272" s="132"/>
      <c r="CG272" s="132"/>
      <c r="CH272" s="132"/>
      <c r="CI272" s="132"/>
      <c r="CJ272" s="131"/>
      <c r="CK272" s="132"/>
      <c r="CL272" s="132"/>
      <c r="CM272" s="132"/>
      <c r="CN272" s="132"/>
      <c r="CO272" s="134">
        <v>196.865</v>
      </c>
      <c r="CP272" s="133">
        <v>73.885</v>
      </c>
      <c r="CQ272" s="133">
        <v>83.481</v>
      </c>
      <c r="CR272" s="133">
        <v>76.792</v>
      </c>
      <c r="CS272" s="133">
        <f>CT272-CP272-CQ272-CR272</f>
        <v>103.158</v>
      </c>
      <c r="CT272" s="134">
        <v>337.316</v>
      </c>
      <c r="CU272" s="133">
        <v>119.778</v>
      </c>
      <c r="CV272" s="133">
        <v>119.085</v>
      </c>
      <c r="CW272" s="133">
        <v>110.6</v>
      </c>
      <c r="CX272" s="133">
        <f>CY272-CU272-CV272-CW272</f>
        <v>160.396</v>
      </c>
      <c r="CY272" s="134">
        <v>509.859</v>
      </c>
      <c r="CZ272" s="133">
        <v>153.635</v>
      </c>
      <c r="DA272" s="133">
        <v>152.49</v>
      </c>
      <c r="DB272" s="133">
        <v>173.016</v>
      </c>
      <c r="DC272" s="133">
        <f>DD272-CZ272-DA272-DB272</f>
        <v>221.982</v>
      </c>
      <c r="DD272" s="136">
        <v>701.123</v>
      </c>
      <c r="DE272" s="133">
        <v>203.069</v>
      </c>
      <c r="DF272" s="133">
        <v>151.27</v>
      </c>
      <c r="DG272" s="133"/>
      <c r="DH272" s="133"/>
      <c r="DI272" s="134"/>
      <c r="DJ272" s="133"/>
      <c r="DK272" s="133"/>
      <c r="DL272" s="133"/>
      <c r="DM272" s="133"/>
      <c r="DN272" s="134"/>
      <c r="DO272" s="133"/>
      <c r="DP272" s="133"/>
      <c r="DQ272" s="133"/>
      <c r="DR272" s="133"/>
      <c r="DS272" s="134"/>
    </row>
    <row r="273" s="3" customFormat="1" spans="2:123">
      <c r="B273" s="144" t="s">
        <v>370</v>
      </c>
      <c r="C273" s="284"/>
      <c r="D273" s="189"/>
      <c r="E273" s="189"/>
      <c r="F273" s="189"/>
      <c r="G273" s="189"/>
      <c r="H273" s="188"/>
      <c r="I273" s="189"/>
      <c r="J273" s="189"/>
      <c r="K273" s="189"/>
      <c r="L273" s="189"/>
      <c r="M273" s="188"/>
      <c r="N273" s="189"/>
      <c r="O273" s="189"/>
      <c r="P273" s="189"/>
      <c r="Q273" s="189"/>
      <c r="R273" s="188"/>
      <c r="S273" s="189"/>
      <c r="T273" s="189"/>
      <c r="U273" s="189"/>
      <c r="V273" s="189"/>
      <c r="W273" s="188"/>
      <c r="X273" s="189"/>
      <c r="Y273" s="189"/>
      <c r="Z273" s="195"/>
      <c r="AA273" s="195"/>
      <c r="AB273" s="188"/>
      <c r="AC273" s="195"/>
      <c r="AD273" s="195"/>
      <c r="AE273" s="195"/>
      <c r="AF273" s="195"/>
      <c r="AG273" s="194"/>
      <c r="AH273" s="195"/>
      <c r="AI273" s="195"/>
      <c r="AJ273" s="195"/>
      <c r="AK273" s="195"/>
      <c r="AL273" s="194"/>
      <c r="AM273" s="195"/>
      <c r="AN273" s="195"/>
      <c r="AO273" s="195"/>
      <c r="AP273" s="195"/>
      <c r="AQ273" s="194"/>
      <c r="AR273" s="195"/>
      <c r="AS273" s="195"/>
      <c r="AT273" s="195"/>
      <c r="AU273" s="195"/>
      <c r="AV273" s="194"/>
      <c r="AW273" s="195"/>
      <c r="AX273" s="195"/>
      <c r="AY273" s="195"/>
      <c r="AZ273" s="195"/>
      <c r="BA273" s="194"/>
      <c r="BB273" s="195"/>
      <c r="BC273" s="195"/>
      <c r="BD273" s="195"/>
      <c r="BE273" s="195"/>
      <c r="BF273" s="194"/>
      <c r="BG273" s="195"/>
      <c r="BH273" s="195"/>
      <c r="BI273" s="195"/>
      <c r="BJ273" s="195"/>
      <c r="BK273" s="194"/>
      <c r="BL273" s="195"/>
      <c r="BM273" s="195"/>
      <c r="BN273" s="195"/>
      <c r="BO273" s="195"/>
      <c r="BP273" s="194"/>
      <c r="BQ273" s="195"/>
      <c r="BR273" s="195"/>
      <c r="BS273" s="195"/>
      <c r="BT273" s="120"/>
      <c r="BU273" s="119"/>
      <c r="BV273" s="120"/>
      <c r="BW273" s="120"/>
      <c r="BX273" s="120"/>
      <c r="BY273" s="189"/>
      <c r="BZ273" s="188"/>
      <c r="CA273" s="189"/>
      <c r="CB273" s="189"/>
      <c r="CC273" s="189"/>
      <c r="CD273" s="189"/>
      <c r="CE273" s="188"/>
      <c r="CF273" s="189"/>
      <c r="CG273" s="189"/>
      <c r="CH273" s="189"/>
      <c r="CI273" s="189"/>
      <c r="CJ273" s="140"/>
      <c r="CK273" s="189"/>
      <c r="CL273" s="189"/>
      <c r="CM273" s="189"/>
      <c r="CN273" s="189"/>
      <c r="CO273" s="749" t="s">
        <v>208</v>
      </c>
      <c r="CP273" s="772" t="s">
        <v>208</v>
      </c>
      <c r="CQ273" s="772" t="s">
        <v>208</v>
      </c>
      <c r="CR273" s="772" t="s">
        <v>208</v>
      </c>
      <c r="CS273" s="772" t="s">
        <v>208</v>
      </c>
      <c r="CT273" s="140">
        <f t="shared" ref="CT273:CY273" si="1328">CT272/CO272-1</f>
        <v>0.713438142889797</v>
      </c>
      <c r="CU273" s="291">
        <f t="shared" si="1328"/>
        <v>0.621140962306287</v>
      </c>
      <c r="CV273" s="291">
        <f t="shared" si="1328"/>
        <v>0.426492255722859</v>
      </c>
      <c r="CW273" s="291">
        <f t="shared" si="1328"/>
        <v>0.440254193145119</v>
      </c>
      <c r="CX273" s="291">
        <f t="shared" si="1328"/>
        <v>0.554857597084085</v>
      </c>
      <c r="CY273" s="140">
        <f t="shared" si="1328"/>
        <v>0.511517390221632</v>
      </c>
      <c r="CZ273" s="291">
        <f t="shared" ref="CZ273" si="1329">CZ272/CU272-1</f>
        <v>0.28266459616958</v>
      </c>
      <c r="DA273" s="291">
        <f t="shared" ref="DA273:DC273" si="1330">DA272/CV272-1</f>
        <v>0.28051391862955</v>
      </c>
      <c r="DB273" s="291">
        <f t="shared" si="1330"/>
        <v>0.564339963833635</v>
      </c>
      <c r="DC273" s="310">
        <f t="shared" si="1330"/>
        <v>0.383962193570913</v>
      </c>
      <c r="DD273" s="140">
        <f t="shared" ref="DD273:DF273" si="1331">DD272/CY272-1</f>
        <v>0.37513116371389</v>
      </c>
      <c r="DE273" s="291">
        <f t="shared" si="1331"/>
        <v>0.321762619194845</v>
      </c>
      <c r="DF273" s="291">
        <f t="shared" si="1331"/>
        <v>-0.00800052462456557</v>
      </c>
      <c r="DG273" s="291"/>
      <c r="DH273" s="291"/>
      <c r="DI273" s="140"/>
      <c r="DJ273" s="291"/>
      <c r="DK273" s="291"/>
      <c r="DL273" s="291"/>
      <c r="DM273" s="291"/>
      <c r="DN273" s="140"/>
      <c r="DO273" s="291"/>
      <c r="DP273" s="291"/>
      <c r="DQ273" s="291"/>
      <c r="DR273" s="291"/>
      <c r="DS273" s="140"/>
    </row>
    <row r="274" s="3" customFormat="1" spans="2:123">
      <c r="B274" s="144" t="s">
        <v>322</v>
      </c>
      <c r="C274" s="284"/>
      <c r="D274" s="189"/>
      <c r="E274" s="189"/>
      <c r="F274" s="189"/>
      <c r="G274" s="189"/>
      <c r="H274" s="188"/>
      <c r="I274" s="189"/>
      <c r="J274" s="189"/>
      <c r="K274" s="189"/>
      <c r="L274" s="189"/>
      <c r="M274" s="188"/>
      <c r="N274" s="189"/>
      <c r="O274" s="189"/>
      <c r="P274" s="189"/>
      <c r="Q274" s="189"/>
      <c r="R274" s="188"/>
      <c r="S274" s="189"/>
      <c r="T274" s="189"/>
      <c r="U274" s="189"/>
      <c r="V274" s="189"/>
      <c r="W274" s="188"/>
      <c r="X274" s="189"/>
      <c r="Y274" s="189"/>
      <c r="Z274" s="195"/>
      <c r="AA274" s="195"/>
      <c r="AB274" s="188"/>
      <c r="AC274" s="195"/>
      <c r="AD274" s="195"/>
      <c r="AE274" s="195"/>
      <c r="AF274" s="195"/>
      <c r="AG274" s="194"/>
      <c r="AH274" s="195"/>
      <c r="AI274" s="195"/>
      <c r="AJ274" s="195"/>
      <c r="AK274" s="195"/>
      <c r="AL274" s="194"/>
      <c r="AM274" s="195"/>
      <c r="AN274" s="195"/>
      <c r="AO274" s="195"/>
      <c r="AP274" s="195"/>
      <c r="AQ274" s="194"/>
      <c r="AR274" s="195"/>
      <c r="AS274" s="195"/>
      <c r="AT274" s="195"/>
      <c r="AU274" s="195"/>
      <c r="AV274" s="194"/>
      <c r="AW274" s="195"/>
      <c r="AX274" s="195"/>
      <c r="AY274" s="195"/>
      <c r="AZ274" s="195"/>
      <c r="BA274" s="194"/>
      <c r="BB274" s="195"/>
      <c r="BC274" s="195"/>
      <c r="BD274" s="195"/>
      <c r="BE274" s="195"/>
      <c r="BF274" s="194"/>
      <c r="BG274" s="195"/>
      <c r="BH274" s="195"/>
      <c r="BI274" s="195"/>
      <c r="BJ274" s="195"/>
      <c r="BK274" s="194"/>
      <c r="BL274" s="195"/>
      <c r="BM274" s="195"/>
      <c r="BN274" s="195"/>
      <c r="BO274" s="195"/>
      <c r="BP274" s="194"/>
      <c r="BQ274" s="195"/>
      <c r="BR274" s="195"/>
      <c r="BS274" s="195"/>
      <c r="BT274" s="120"/>
      <c r="BU274" s="119"/>
      <c r="BV274" s="120"/>
      <c r="BW274" s="120"/>
      <c r="BX274" s="120"/>
      <c r="BY274" s="189"/>
      <c r="BZ274" s="188"/>
      <c r="CA274" s="189"/>
      <c r="CB274" s="189"/>
      <c r="CC274" s="189"/>
      <c r="CD274" s="189"/>
      <c r="CE274" s="188"/>
      <c r="CF274" s="189"/>
      <c r="CG274" s="189"/>
      <c r="CH274" s="189"/>
      <c r="CI274" s="189"/>
      <c r="CJ274" s="140"/>
      <c r="CK274" s="189"/>
      <c r="CL274" s="189"/>
      <c r="CM274" s="189"/>
      <c r="CN274" s="189"/>
      <c r="CO274" s="140">
        <f t="shared" ref="CO274:DF274" si="1332">CO272/CO236</f>
        <v>0.341481310591619</v>
      </c>
      <c r="CP274" s="291">
        <f t="shared" si="1332"/>
        <v>0.351719443227907</v>
      </c>
      <c r="CQ274" s="291">
        <f t="shared" si="1332"/>
        <v>0.356079250997036</v>
      </c>
      <c r="CR274" s="291">
        <f t="shared" si="1332"/>
        <v>0.335930357181916</v>
      </c>
      <c r="CS274" s="291">
        <f t="shared" si="1332"/>
        <v>0.354919284918046</v>
      </c>
      <c r="CT274" s="140">
        <f t="shared" si="1332"/>
        <v>0.35</v>
      </c>
      <c r="CU274" s="291">
        <f t="shared" si="1332"/>
        <v>0.394284134226067</v>
      </c>
      <c r="CV274" s="291">
        <f t="shared" si="1332"/>
        <v>0.379023454035628</v>
      </c>
      <c r="CW274" s="291">
        <f t="shared" si="1332"/>
        <v>0.347429461767053</v>
      </c>
      <c r="CX274" s="291">
        <f t="shared" si="1332"/>
        <v>0.377381042011745</v>
      </c>
      <c r="CY274" s="140">
        <f t="shared" si="1332"/>
        <v>0.374528129331679</v>
      </c>
      <c r="CZ274" s="291">
        <f t="shared" si="1332"/>
        <v>0.417371862613793</v>
      </c>
      <c r="DA274" s="291">
        <f t="shared" si="1332"/>
        <v>0.388115999572408</v>
      </c>
      <c r="DB274" s="291">
        <f t="shared" si="1332"/>
        <v>0.371787984407837</v>
      </c>
      <c r="DC274" s="310">
        <f t="shared" si="1332"/>
        <v>0.420071985739103</v>
      </c>
      <c r="DD274" s="140">
        <f t="shared" si="1332"/>
        <v>0.399546044874655</v>
      </c>
      <c r="DE274" s="291">
        <f t="shared" si="1332"/>
        <v>0.424479770900616</v>
      </c>
      <c r="DF274" s="291">
        <f t="shared" si="1332"/>
        <v>0.371584028298063</v>
      </c>
      <c r="DG274" s="291"/>
      <c r="DH274" s="291"/>
      <c r="DI274" s="140"/>
      <c r="DJ274" s="291"/>
      <c r="DK274" s="291"/>
      <c r="DL274" s="291"/>
      <c r="DM274" s="291"/>
      <c r="DN274" s="140"/>
      <c r="DO274" s="291"/>
      <c r="DP274" s="291"/>
      <c r="DQ274" s="291"/>
      <c r="DR274" s="291"/>
      <c r="DS274" s="140"/>
    </row>
    <row r="275" s="3" customFormat="1" spans="2:123">
      <c r="B275" s="144" t="s">
        <v>379</v>
      </c>
      <c r="C275" s="284"/>
      <c r="D275" s="189"/>
      <c r="E275" s="189"/>
      <c r="F275" s="189"/>
      <c r="G275" s="189"/>
      <c r="H275" s="188"/>
      <c r="I275" s="189"/>
      <c r="J275" s="189"/>
      <c r="K275" s="189"/>
      <c r="L275" s="189"/>
      <c r="M275" s="188"/>
      <c r="N275" s="189"/>
      <c r="O275" s="189"/>
      <c r="P275" s="189"/>
      <c r="Q275" s="189"/>
      <c r="R275" s="188"/>
      <c r="S275" s="189"/>
      <c r="T275" s="189"/>
      <c r="U275" s="189"/>
      <c r="V275" s="189"/>
      <c r="W275" s="188"/>
      <c r="X275" s="189"/>
      <c r="Y275" s="189"/>
      <c r="Z275" s="195"/>
      <c r="AA275" s="195"/>
      <c r="AB275" s="188"/>
      <c r="AC275" s="195"/>
      <c r="AD275" s="195"/>
      <c r="AE275" s="195"/>
      <c r="AF275" s="195"/>
      <c r="AG275" s="194"/>
      <c r="AH275" s="195"/>
      <c r="AI275" s="195"/>
      <c r="AJ275" s="195"/>
      <c r="AK275" s="195"/>
      <c r="AL275" s="194"/>
      <c r="AM275" s="195"/>
      <c r="AN275" s="195"/>
      <c r="AO275" s="195"/>
      <c r="AP275" s="195"/>
      <c r="AQ275" s="194"/>
      <c r="AR275" s="195"/>
      <c r="AS275" s="195"/>
      <c r="AT275" s="195"/>
      <c r="AU275" s="195"/>
      <c r="AV275" s="194"/>
      <c r="AW275" s="195"/>
      <c r="AX275" s="195"/>
      <c r="AY275" s="195"/>
      <c r="AZ275" s="195"/>
      <c r="BA275" s="194"/>
      <c r="BB275" s="195"/>
      <c r="BC275" s="195"/>
      <c r="BD275" s="195"/>
      <c r="BE275" s="195"/>
      <c r="BF275" s="194"/>
      <c r="BG275" s="195"/>
      <c r="BH275" s="195"/>
      <c r="BI275" s="195"/>
      <c r="BJ275" s="195"/>
      <c r="BK275" s="194"/>
      <c r="BL275" s="195"/>
      <c r="BM275" s="195"/>
      <c r="BN275" s="195"/>
      <c r="BO275" s="195"/>
      <c r="BP275" s="194"/>
      <c r="BQ275" s="195"/>
      <c r="BR275" s="195"/>
      <c r="BS275" s="195"/>
      <c r="BT275" s="120"/>
      <c r="BU275" s="119"/>
      <c r="BV275" s="120"/>
      <c r="BW275" s="120"/>
      <c r="BX275" s="120"/>
      <c r="BY275" s="189"/>
      <c r="BZ275" s="188"/>
      <c r="CA275" s="189"/>
      <c r="CB275" s="189"/>
      <c r="CC275" s="189"/>
      <c r="CD275" s="189"/>
      <c r="CE275" s="188"/>
      <c r="CF275" s="189"/>
      <c r="CG275" s="189"/>
      <c r="CH275" s="189"/>
      <c r="CI275" s="189"/>
      <c r="CJ275" s="140"/>
      <c r="CK275" s="189"/>
      <c r="CL275" s="189"/>
      <c r="CM275" s="189"/>
      <c r="CN275" s="189"/>
      <c r="CO275" s="749" t="s">
        <v>208</v>
      </c>
      <c r="CP275" s="772" t="s">
        <v>208</v>
      </c>
      <c r="CQ275" s="772" t="s">
        <v>208</v>
      </c>
      <c r="CR275" s="772" t="s">
        <v>208</v>
      </c>
      <c r="CS275" s="772" t="s">
        <v>208</v>
      </c>
      <c r="CT275" s="329">
        <f t="shared" ref="CT275:DF275" si="1333">(CT274-CO274)*100*100</f>
        <v>85.1868940838119</v>
      </c>
      <c r="CU275" s="330">
        <f t="shared" si="1333"/>
        <v>425.646909981599</v>
      </c>
      <c r="CV275" s="330">
        <f t="shared" si="1333"/>
        <v>229.442030385927</v>
      </c>
      <c r="CW275" s="330">
        <f t="shared" si="1333"/>
        <v>114.99104585137</v>
      </c>
      <c r="CX275" s="330">
        <f t="shared" si="1333"/>
        <v>224.617570936991</v>
      </c>
      <c r="CY275" s="329">
        <f t="shared" si="1333"/>
        <v>245.281293316791</v>
      </c>
      <c r="CZ275" s="330">
        <f t="shared" si="1333"/>
        <v>230.877283877264</v>
      </c>
      <c r="DA275" s="330">
        <f t="shared" si="1333"/>
        <v>90.9254553677991</v>
      </c>
      <c r="DB275" s="330">
        <f t="shared" si="1333"/>
        <v>243.585226407847</v>
      </c>
      <c r="DC275" s="333">
        <f t="shared" si="1333"/>
        <v>426.909437273577</v>
      </c>
      <c r="DD275" s="329">
        <f t="shared" si="1333"/>
        <v>250.179155429761</v>
      </c>
      <c r="DE275" s="330">
        <f t="shared" si="1333"/>
        <v>71.0790828682212</v>
      </c>
      <c r="DF275" s="330">
        <f t="shared" si="1333"/>
        <v>-165.31971274345</v>
      </c>
      <c r="DG275" s="334"/>
      <c r="DH275" s="334"/>
      <c r="DI275" s="329"/>
      <c r="DJ275" s="334"/>
      <c r="DK275" s="334"/>
      <c r="DL275" s="334"/>
      <c r="DM275" s="334"/>
      <c r="DN275" s="329"/>
      <c r="DO275" s="334"/>
      <c r="DP275" s="334"/>
      <c r="DQ275" s="334"/>
      <c r="DR275" s="334"/>
      <c r="DS275" s="329"/>
    </row>
    <row r="276" s="3" customFormat="1" spans="2:123">
      <c r="B276" s="144"/>
      <c r="C276" s="284"/>
      <c r="D276" s="189"/>
      <c r="E276" s="189"/>
      <c r="F276" s="189"/>
      <c r="G276" s="189"/>
      <c r="H276" s="188"/>
      <c r="I276" s="189"/>
      <c r="J276" s="189"/>
      <c r="K276" s="189"/>
      <c r="L276" s="189"/>
      <c r="M276" s="188"/>
      <c r="N276" s="189"/>
      <c r="O276" s="189"/>
      <c r="P276" s="189"/>
      <c r="Q276" s="189"/>
      <c r="R276" s="188"/>
      <c r="S276" s="189"/>
      <c r="T276" s="189"/>
      <c r="U276" s="189"/>
      <c r="V276" s="189"/>
      <c r="W276" s="188"/>
      <c r="X276" s="189"/>
      <c r="Y276" s="189"/>
      <c r="Z276" s="195"/>
      <c r="AA276" s="195"/>
      <c r="AB276" s="188"/>
      <c r="AC276" s="195"/>
      <c r="AD276" s="195"/>
      <c r="AE276" s="195"/>
      <c r="AF276" s="195"/>
      <c r="AG276" s="194"/>
      <c r="AH276" s="195"/>
      <c r="AI276" s="195"/>
      <c r="AJ276" s="195"/>
      <c r="AK276" s="195"/>
      <c r="AL276" s="194"/>
      <c r="AM276" s="195"/>
      <c r="AN276" s="195"/>
      <c r="AO276" s="195"/>
      <c r="AP276" s="195"/>
      <c r="AQ276" s="194"/>
      <c r="AR276" s="195"/>
      <c r="AS276" s="195"/>
      <c r="AT276" s="195"/>
      <c r="AU276" s="195"/>
      <c r="AV276" s="194"/>
      <c r="AW276" s="195"/>
      <c r="AX276" s="195"/>
      <c r="AY276" s="195"/>
      <c r="AZ276" s="195"/>
      <c r="BA276" s="194"/>
      <c r="BB276" s="195"/>
      <c r="BC276" s="195"/>
      <c r="BD276" s="195"/>
      <c r="BE276" s="195"/>
      <c r="BF276" s="194"/>
      <c r="BG276" s="195"/>
      <c r="BH276" s="195"/>
      <c r="BI276" s="195"/>
      <c r="BJ276" s="195"/>
      <c r="BK276" s="194"/>
      <c r="BL276" s="195"/>
      <c r="BM276" s="195"/>
      <c r="BN276" s="195"/>
      <c r="BO276" s="195"/>
      <c r="BP276" s="194"/>
      <c r="BQ276" s="195"/>
      <c r="BR276" s="195"/>
      <c r="BS276" s="195"/>
      <c r="BT276" s="120"/>
      <c r="BU276" s="119"/>
      <c r="BV276" s="120"/>
      <c r="BW276" s="120"/>
      <c r="BX276" s="120"/>
      <c r="BY276" s="189"/>
      <c r="BZ276" s="188"/>
      <c r="CA276" s="189"/>
      <c r="CB276" s="189"/>
      <c r="CC276" s="189"/>
      <c r="CD276" s="189"/>
      <c r="CE276" s="188"/>
      <c r="CF276" s="189"/>
      <c r="CG276" s="189"/>
      <c r="CH276" s="189"/>
      <c r="CI276" s="189"/>
      <c r="CJ276" s="140"/>
      <c r="CK276" s="189"/>
      <c r="CL276" s="189"/>
      <c r="CM276" s="189"/>
      <c r="CN276" s="189"/>
      <c r="CO276" s="140"/>
      <c r="CP276" s="189"/>
      <c r="CQ276" s="189"/>
      <c r="CR276" s="189"/>
      <c r="CS276" s="189"/>
      <c r="CT276" s="223"/>
      <c r="CU276" s="224"/>
      <c r="CV276" s="224"/>
      <c r="CW276" s="224"/>
      <c r="CX276" s="224"/>
      <c r="CY276" s="223"/>
      <c r="CZ276" s="224"/>
      <c r="DA276" s="224"/>
      <c r="DB276" s="224"/>
      <c r="DC276" s="224"/>
      <c r="DD276" s="223"/>
      <c r="DE276" s="224"/>
      <c r="DF276" s="362"/>
      <c r="DG276" s="334"/>
      <c r="DH276" s="334"/>
      <c r="DI276" s="329"/>
      <c r="DJ276" s="334"/>
      <c r="DK276" s="334"/>
      <c r="DL276" s="334"/>
      <c r="DM276" s="334"/>
      <c r="DN276" s="329"/>
      <c r="DO276" s="334"/>
      <c r="DP276" s="334"/>
      <c r="DQ276" s="334"/>
      <c r="DR276" s="334"/>
      <c r="DS276" s="329"/>
    </row>
    <row r="277" s="3" customFormat="1" spans="2:123">
      <c r="B277" s="144" t="s">
        <v>383</v>
      </c>
      <c r="C277" s="284"/>
      <c r="D277" s="189"/>
      <c r="E277" s="189"/>
      <c r="F277" s="189"/>
      <c r="G277" s="189"/>
      <c r="H277" s="188"/>
      <c r="I277" s="189"/>
      <c r="J277" s="189"/>
      <c r="K277" s="189"/>
      <c r="L277" s="189"/>
      <c r="M277" s="188"/>
      <c r="N277" s="189"/>
      <c r="O277" s="189"/>
      <c r="P277" s="189"/>
      <c r="Q277" s="189"/>
      <c r="R277" s="188"/>
      <c r="S277" s="189"/>
      <c r="T277" s="189"/>
      <c r="U277" s="189"/>
      <c r="V277" s="189"/>
      <c r="W277" s="188"/>
      <c r="X277" s="189"/>
      <c r="Y277" s="189"/>
      <c r="Z277" s="195"/>
      <c r="AA277" s="195"/>
      <c r="AB277" s="188"/>
      <c r="AC277" s="195"/>
      <c r="AD277" s="195"/>
      <c r="AE277" s="195"/>
      <c r="AF277" s="195"/>
      <c r="AG277" s="194"/>
      <c r="AH277" s="195"/>
      <c r="AI277" s="195"/>
      <c r="AJ277" s="195"/>
      <c r="AK277" s="195"/>
      <c r="AL277" s="194"/>
      <c r="AM277" s="195"/>
      <c r="AN277" s="195"/>
      <c r="AO277" s="195"/>
      <c r="AP277" s="195"/>
      <c r="AQ277" s="194"/>
      <c r="AR277" s="195"/>
      <c r="AS277" s="195"/>
      <c r="AT277" s="195"/>
      <c r="AU277" s="195"/>
      <c r="AV277" s="194"/>
      <c r="AW277" s="195"/>
      <c r="AX277" s="195"/>
      <c r="AY277" s="195"/>
      <c r="AZ277" s="195"/>
      <c r="BA277" s="194"/>
      <c r="BB277" s="195"/>
      <c r="BC277" s="195"/>
      <c r="BD277" s="195"/>
      <c r="BE277" s="195"/>
      <c r="BF277" s="194"/>
      <c r="BG277" s="195"/>
      <c r="BH277" s="195"/>
      <c r="BI277" s="195"/>
      <c r="BJ277" s="195"/>
      <c r="BK277" s="194"/>
      <c r="BL277" s="195"/>
      <c r="BM277" s="195"/>
      <c r="BN277" s="195"/>
      <c r="BO277" s="195"/>
      <c r="BP277" s="194"/>
      <c r="BQ277" s="195"/>
      <c r="BR277" s="195"/>
      <c r="BS277" s="195"/>
      <c r="BT277" s="120"/>
      <c r="BU277" s="119"/>
      <c r="BV277" s="120"/>
      <c r="BW277" s="120"/>
      <c r="BX277" s="120"/>
      <c r="BY277" s="189"/>
      <c r="BZ277" s="188"/>
      <c r="CA277" s="189"/>
      <c r="CB277" s="189"/>
      <c r="CC277" s="189"/>
      <c r="CD277" s="189"/>
      <c r="CE277" s="188"/>
      <c r="CF277" s="189"/>
      <c r="CG277" s="189"/>
      <c r="CH277" s="189"/>
      <c r="CI277" s="189"/>
      <c r="CJ277" s="223"/>
      <c r="CK277" s="189"/>
      <c r="CL277" s="189"/>
      <c r="CM277" s="189"/>
      <c r="CN277" s="189"/>
      <c r="CO277" s="339">
        <f>CO262/CO249</f>
        <v>4.03404154302671</v>
      </c>
      <c r="CP277" s="340"/>
      <c r="CQ277" s="340"/>
      <c r="CR277" s="340"/>
      <c r="CS277" s="340"/>
      <c r="CT277" s="341">
        <f t="shared" ref="CT277:DF277" si="1334">CT262/CT249</f>
        <v>5.05978619153675</v>
      </c>
      <c r="CU277" s="342">
        <f t="shared" si="1334"/>
        <v>1.47718897637795</v>
      </c>
      <c r="CV277" s="342">
        <f t="shared" si="1334"/>
        <v>1.51782239382239</v>
      </c>
      <c r="CW277" s="342">
        <f t="shared" si="1334"/>
        <v>1.45643703703704</v>
      </c>
      <c r="CX277" s="342">
        <f t="shared" si="1334"/>
        <v>1.78510034602076</v>
      </c>
      <c r="CY277" s="341">
        <f t="shared" si="1334"/>
        <v>6.12209489051095</v>
      </c>
      <c r="CZ277" s="342">
        <f t="shared" si="1334"/>
        <v>1.5476262295082</v>
      </c>
      <c r="DA277" s="342">
        <f t="shared" si="1334"/>
        <v>1.59450479233227</v>
      </c>
      <c r="DB277" s="342">
        <f t="shared" si="1334"/>
        <v>1.84676543209877</v>
      </c>
      <c r="DC277" s="342">
        <f t="shared" si="1334"/>
        <v>1.98151928783383</v>
      </c>
      <c r="DD277" s="341">
        <f t="shared" si="1334"/>
        <v>6.88378461538461</v>
      </c>
      <c r="DE277" s="342">
        <f t="shared" si="1334"/>
        <v>1.82191884057971</v>
      </c>
      <c r="DF277" s="342">
        <f t="shared" si="1334"/>
        <v>1.50833429394813</v>
      </c>
      <c r="DG277" s="332"/>
      <c r="DH277" s="332"/>
      <c r="DI277" s="329"/>
      <c r="DJ277" s="332"/>
      <c r="DK277" s="332"/>
      <c r="DL277" s="332"/>
      <c r="DM277" s="332"/>
      <c r="DN277" s="329"/>
      <c r="DO277" s="332"/>
      <c r="DP277" s="332"/>
      <c r="DQ277" s="332"/>
      <c r="DR277" s="332"/>
      <c r="DS277" s="329"/>
    </row>
    <row r="278" s="3" customFormat="1" spans="2:123">
      <c r="B278" s="144"/>
      <c r="C278" s="284"/>
      <c r="D278" s="189"/>
      <c r="E278" s="189"/>
      <c r="F278" s="189"/>
      <c r="G278" s="189"/>
      <c r="H278" s="188"/>
      <c r="I278" s="189"/>
      <c r="J278" s="189"/>
      <c r="K278" s="189"/>
      <c r="L278" s="189"/>
      <c r="M278" s="188"/>
      <c r="N278" s="189"/>
      <c r="O278" s="189"/>
      <c r="P278" s="189"/>
      <c r="Q278" s="189"/>
      <c r="R278" s="188"/>
      <c r="S278" s="189"/>
      <c r="T278" s="189"/>
      <c r="U278" s="189"/>
      <c r="V278" s="189"/>
      <c r="W278" s="188"/>
      <c r="X278" s="189"/>
      <c r="Y278" s="189"/>
      <c r="Z278" s="195"/>
      <c r="AA278" s="195"/>
      <c r="AB278" s="188"/>
      <c r="AC278" s="195"/>
      <c r="AD278" s="195"/>
      <c r="AE278" s="195"/>
      <c r="AF278" s="195"/>
      <c r="AG278" s="194"/>
      <c r="AH278" s="195"/>
      <c r="AI278" s="195"/>
      <c r="AJ278" s="195"/>
      <c r="AK278" s="195"/>
      <c r="AL278" s="194"/>
      <c r="AM278" s="195"/>
      <c r="AN278" s="195"/>
      <c r="AO278" s="195"/>
      <c r="AP278" s="195"/>
      <c r="AQ278" s="194"/>
      <c r="AR278" s="195"/>
      <c r="AS278" s="195"/>
      <c r="AT278" s="195"/>
      <c r="AU278" s="195"/>
      <c r="AV278" s="194"/>
      <c r="AW278" s="195"/>
      <c r="AX278" s="195"/>
      <c r="AY278" s="195"/>
      <c r="AZ278" s="195"/>
      <c r="BA278" s="194"/>
      <c r="BB278" s="195"/>
      <c r="BC278" s="195"/>
      <c r="BD278" s="195"/>
      <c r="BE278" s="195"/>
      <c r="BF278" s="194"/>
      <c r="BG278" s="195"/>
      <c r="BH278" s="195"/>
      <c r="BI278" s="195"/>
      <c r="BJ278" s="195"/>
      <c r="BK278" s="194"/>
      <c r="BL278" s="195"/>
      <c r="BM278" s="195"/>
      <c r="BN278" s="195"/>
      <c r="BO278" s="195"/>
      <c r="BP278" s="194"/>
      <c r="BQ278" s="195"/>
      <c r="BR278" s="195"/>
      <c r="BS278" s="195"/>
      <c r="BT278" s="120"/>
      <c r="BU278" s="119"/>
      <c r="BV278" s="120"/>
      <c r="BW278" s="120"/>
      <c r="BX278" s="120"/>
      <c r="BY278" s="189"/>
      <c r="BZ278" s="188"/>
      <c r="CA278" s="189"/>
      <c r="CB278" s="189"/>
      <c r="CC278" s="189"/>
      <c r="CD278" s="189"/>
      <c r="CE278" s="188"/>
      <c r="CF278" s="189"/>
      <c r="CG278" s="189"/>
      <c r="CH278" s="189"/>
      <c r="CI278" s="189"/>
      <c r="CJ278" s="223"/>
      <c r="CK278" s="189"/>
      <c r="CL278" s="189"/>
      <c r="CM278" s="189"/>
      <c r="CN278" s="189"/>
      <c r="CO278" s="140"/>
      <c r="CP278" s="189"/>
      <c r="CQ278" s="189"/>
      <c r="CR278" s="189"/>
      <c r="CS278" s="189"/>
      <c r="CT278" s="140"/>
      <c r="CU278" s="291"/>
      <c r="CV278" s="291"/>
      <c r="CW278" s="291"/>
      <c r="CX278" s="291"/>
      <c r="CY278" s="140"/>
      <c r="CZ278" s="291"/>
      <c r="DA278" s="291"/>
      <c r="DB278" s="291"/>
      <c r="DC278" s="291"/>
      <c r="DD278" s="140"/>
      <c r="DE278" s="291"/>
      <c r="DF278" s="291"/>
      <c r="DG278" s="332"/>
      <c r="DH278" s="332"/>
      <c r="DI278" s="329"/>
      <c r="DJ278" s="332"/>
      <c r="DK278" s="332"/>
      <c r="DL278" s="332"/>
      <c r="DM278" s="332"/>
      <c r="DN278" s="329"/>
      <c r="DO278" s="332"/>
      <c r="DP278" s="332"/>
      <c r="DQ278" s="332"/>
      <c r="DR278" s="332"/>
      <c r="DS278" s="329"/>
    </row>
    <row r="279" s="3" customFormat="1" spans="2:123">
      <c r="B279" s="144" t="s">
        <v>384</v>
      </c>
      <c r="C279" s="284"/>
      <c r="D279" s="189"/>
      <c r="E279" s="189"/>
      <c r="F279" s="189"/>
      <c r="G279" s="189"/>
      <c r="H279" s="188"/>
      <c r="I279" s="189"/>
      <c r="J279" s="189"/>
      <c r="K279" s="189"/>
      <c r="L279" s="189"/>
      <c r="M279" s="188"/>
      <c r="N279" s="189"/>
      <c r="O279" s="189"/>
      <c r="P279" s="189"/>
      <c r="Q279" s="189"/>
      <c r="R279" s="188"/>
      <c r="S279" s="189"/>
      <c r="T279" s="189"/>
      <c r="U279" s="189"/>
      <c r="V279" s="189"/>
      <c r="W279" s="188"/>
      <c r="X279" s="189"/>
      <c r="Y279" s="189"/>
      <c r="Z279" s="195"/>
      <c r="AA279" s="195"/>
      <c r="AB279" s="188"/>
      <c r="AC279" s="195"/>
      <c r="AD279" s="195"/>
      <c r="AE279" s="195"/>
      <c r="AF279" s="195"/>
      <c r="AG279" s="194"/>
      <c r="AH279" s="195"/>
      <c r="AI279" s="195"/>
      <c r="AJ279" s="195"/>
      <c r="AK279" s="195"/>
      <c r="AL279" s="194"/>
      <c r="AM279" s="195"/>
      <c r="AN279" s="195"/>
      <c r="AO279" s="195"/>
      <c r="AP279" s="195"/>
      <c r="AQ279" s="194"/>
      <c r="AR279" s="195"/>
      <c r="AS279" s="195"/>
      <c r="AT279" s="195"/>
      <c r="AU279" s="195"/>
      <c r="AV279" s="194"/>
      <c r="AW279" s="195"/>
      <c r="AX279" s="195"/>
      <c r="AY279" s="195"/>
      <c r="AZ279" s="195"/>
      <c r="BA279" s="194"/>
      <c r="BB279" s="195"/>
      <c r="BC279" s="195"/>
      <c r="BD279" s="195"/>
      <c r="BE279" s="195"/>
      <c r="BF279" s="194"/>
      <c r="BG279" s="195"/>
      <c r="BH279" s="195"/>
      <c r="BI279" s="195"/>
      <c r="BJ279" s="195"/>
      <c r="BK279" s="194"/>
      <c r="BL279" s="195"/>
      <c r="BM279" s="195"/>
      <c r="BN279" s="195"/>
      <c r="BO279" s="195"/>
      <c r="BP279" s="194"/>
      <c r="BQ279" s="195"/>
      <c r="BR279" s="195"/>
      <c r="BS279" s="195"/>
      <c r="BT279" s="120"/>
      <c r="BU279" s="119"/>
      <c r="BV279" s="120"/>
      <c r="BW279" s="120"/>
      <c r="BX279" s="120"/>
      <c r="BY279" s="189"/>
      <c r="BZ279" s="188"/>
      <c r="CA279" s="189"/>
      <c r="CB279" s="189"/>
      <c r="CC279" s="189"/>
      <c r="CD279" s="189"/>
      <c r="CE279" s="188"/>
      <c r="CF279" s="189"/>
      <c r="CG279" s="189"/>
      <c r="CH279" s="189"/>
      <c r="CI279" s="189"/>
      <c r="CJ279" s="223"/>
      <c r="CK279" s="189"/>
      <c r="CL279" s="189"/>
      <c r="CM279" s="189"/>
      <c r="CN279" s="189"/>
      <c r="CO279" s="339">
        <f>CO272/CO249</f>
        <v>2.3366765578635</v>
      </c>
      <c r="CP279" s="340"/>
      <c r="CQ279" s="340"/>
      <c r="CR279" s="340"/>
      <c r="CS279" s="340"/>
      <c r="CT279" s="341">
        <f t="shared" ref="CT279:DF279" si="1335">CT272/CT249</f>
        <v>3.00504231625835</v>
      </c>
      <c r="CU279" s="342">
        <f t="shared" si="1335"/>
        <v>0.943133858267717</v>
      </c>
      <c r="CV279" s="342">
        <f t="shared" si="1335"/>
        <v>0.91957528957529</v>
      </c>
      <c r="CW279" s="342">
        <f t="shared" si="1335"/>
        <v>0.819259259259259</v>
      </c>
      <c r="CX279" s="342">
        <f t="shared" si="1335"/>
        <v>1.11000692041522</v>
      </c>
      <c r="CY279" s="341">
        <f t="shared" si="1335"/>
        <v>3.72159854014599</v>
      </c>
      <c r="CZ279" s="342">
        <f t="shared" si="1335"/>
        <v>1.00744262295082</v>
      </c>
      <c r="DA279" s="342">
        <f t="shared" si="1335"/>
        <v>0.974376996805112</v>
      </c>
      <c r="DB279" s="342">
        <f t="shared" si="1335"/>
        <v>1.068</v>
      </c>
      <c r="DC279" s="342">
        <f t="shared" si="1335"/>
        <v>1.31740059347181</v>
      </c>
      <c r="DD279" s="341">
        <f t="shared" si="1335"/>
        <v>4.31460307692308</v>
      </c>
      <c r="DE279" s="342">
        <f t="shared" si="1335"/>
        <v>1.1772115942029</v>
      </c>
      <c r="DF279" s="342">
        <f t="shared" si="1335"/>
        <v>0.871873198847262</v>
      </c>
      <c r="DG279" s="332"/>
      <c r="DH279" s="332"/>
      <c r="DI279" s="329"/>
      <c r="DJ279" s="332"/>
      <c r="DK279" s="332"/>
      <c r="DL279" s="332"/>
      <c r="DM279" s="332"/>
      <c r="DN279" s="329"/>
      <c r="DO279" s="332"/>
      <c r="DP279" s="332"/>
      <c r="DQ279" s="332"/>
      <c r="DR279" s="332"/>
      <c r="DS279" s="329"/>
    </row>
    <row r="280" s="3" customFormat="1" spans="2:123">
      <c r="B280" s="144"/>
      <c r="C280" s="284"/>
      <c r="D280" s="189"/>
      <c r="E280" s="189"/>
      <c r="F280" s="189"/>
      <c r="G280" s="189"/>
      <c r="H280" s="188"/>
      <c r="I280" s="189"/>
      <c r="J280" s="189"/>
      <c r="K280" s="189"/>
      <c r="L280" s="189"/>
      <c r="M280" s="188"/>
      <c r="N280" s="189"/>
      <c r="O280" s="189"/>
      <c r="P280" s="189"/>
      <c r="Q280" s="189"/>
      <c r="R280" s="188"/>
      <c r="S280" s="189"/>
      <c r="T280" s="189"/>
      <c r="U280" s="189"/>
      <c r="V280" s="189"/>
      <c r="W280" s="188"/>
      <c r="X280" s="189"/>
      <c r="Y280" s="189"/>
      <c r="Z280" s="195"/>
      <c r="AA280" s="195"/>
      <c r="AB280" s="188"/>
      <c r="AC280" s="195"/>
      <c r="AD280" s="195"/>
      <c r="AE280" s="195"/>
      <c r="AF280" s="195"/>
      <c r="AG280" s="194"/>
      <c r="AH280" s="195"/>
      <c r="AI280" s="195"/>
      <c r="AJ280" s="195"/>
      <c r="AK280" s="195"/>
      <c r="AL280" s="194"/>
      <c r="AM280" s="195"/>
      <c r="AN280" s="195"/>
      <c r="AO280" s="195"/>
      <c r="AP280" s="195"/>
      <c r="AQ280" s="194"/>
      <c r="AR280" s="195"/>
      <c r="AS280" s="195"/>
      <c r="AT280" s="195"/>
      <c r="AU280" s="195"/>
      <c r="AV280" s="194"/>
      <c r="AW280" s="195"/>
      <c r="AX280" s="195"/>
      <c r="AY280" s="195"/>
      <c r="AZ280" s="195"/>
      <c r="BA280" s="194"/>
      <c r="BB280" s="195"/>
      <c r="BC280" s="195"/>
      <c r="BD280" s="195"/>
      <c r="BE280" s="195"/>
      <c r="BF280" s="194"/>
      <c r="BG280" s="195"/>
      <c r="BH280" s="195"/>
      <c r="BI280" s="195"/>
      <c r="BJ280" s="195"/>
      <c r="BK280" s="194"/>
      <c r="BL280" s="195"/>
      <c r="BM280" s="195"/>
      <c r="BN280" s="195"/>
      <c r="BO280" s="195"/>
      <c r="BP280" s="194"/>
      <c r="BQ280" s="195"/>
      <c r="BR280" s="195"/>
      <c r="BS280" s="195"/>
      <c r="BT280" s="120"/>
      <c r="BU280" s="119"/>
      <c r="BV280" s="120"/>
      <c r="BW280" s="120"/>
      <c r="BX280" s="120"/>
      <c r="BY280" s="189"/>
      <c r="BZ280" s="188"/>
      <c r="CA280" s="189"/>
      <c r="CB280" s="189"/>
      <c r="CC280" s="189"/>
      <c r="CD280" s="189"/>
      <c r="CE280" s="188"/>
      <c r="CF280" s="189"/>
      <c r="CG280" s="189"/>
      <c r="CH280" s="189"/>
      <c r="CI280" s="189"/>
      <c r="CJ280" s="223"/>
      <c r="CK280" s="189"/>
      <c r="CL280" s="189"/>
      <c r="CM280" s="189"/>
      <c r="CN280" s="189"/>
      <c r="CO280" s="140"/>
      <c r="CP280" s="189"/>
      <c r="CQ280" s="189"/>
      <c r="CR280" s="189"/>
      <c r="CS280" s="189"/>
      <c r="CT280" s="140"/>
      <c r="CU280" s="291"/>
      <c r="CV280" s="291"/>
      <c r="CW280" s="291"/>
      <c r="CX280" s="291"/>
      <c r="CY280" s="140"/>
      <c r="CZ280" s="291"/>
      <c r="DA280" s="291"/>
      <c r="DB280" s="291"/>
      <c r="DC280" s="291"/>
      <c r="DD280" s="140"/>
      <c r="DE280" s="291"/>
      <c r="DF280" s="291"/>
      <c r="DG280" s="332"/>
      <c r="DH280" s="332"/>
      <c r="DI280" s="329"/>
      <c r="DJ280" s="332"/>
      <c r="DK280" s="332"/>
      <c r="DL280" s="332"/>
      <c r="DM280" s="332"/>
      <c r="DN280" s="329"/>
      <c r="DO280" s="332"/>
      <c r="DP280" s="332"/>
      <c r="DQ280" s="332"/>
      <c r="DR280" s="332"/>
      <c r="DS280" s="329"/>
    </row>
    <row r="281" s="89" customFormat="1" hidden="1" outlineLevel="1" spans="2:123">
      <c r="B281" s="179" t="s">
        <v>398</v>
      </c>
      <c r="C281" s="337"/>
      <c r="D281" s="132"/>
      <c r="E281" s="132"/>
      <c r="F281" s="132"/>
      <c r="G281" s="132"/>
      <c r="H281" s="131"/>
      <c r="I281" s="132"/>
      <c r="J281" s="132"/>
      <c r="K281" s="132"/>
      <c r="L281" s="132"/>
      <c r="M281" s="131"/>
      <c r="N281" s="132"/>
      <c r="O281" s="132"/>
      <c r="P281" s="132"/>
      <c r="Q281" s="132"/>
      <c r="R281" s="131"/>
      <c r="S281" s="132"/>
      <c r="T281" s="132"/>
      <c r="U281" s="132"/>
      <c r="V281" s="132"/>
      <c r="W281" s="131"/>
      <c r="X281" s="132"/>
      <c r="Y281" s="132"/>
      <c r="Z281" s="132"/>
      <c r="AA281" s="132"/>
      <c r="AB281" s="131"/>
      <c r="AC281" s="132"/>
      <c r="AD281" s="132"/>
      <c r="AE281" s="132"/>
      <c r="AF281" s="132"/>
      <c r="AG281" s="131"/>
      <c r="AH281" s="132"/>
      <c r="AI281" s="132"/>
      <c r="AJ281" s="132"/>
      <c r="AK281" s="132"/>
      <c r="AL281" s="131"/>
      <c r="AM281" s="132"/>
      <c r="AN281" s="132"/>
      <c r="AO281" s="132"/>
      <c r="AP281" s="132"/>
      <c r="AQ281" s="131"/>
      <c r="AR281" s="132"/>
      <c r="AS281" s="132"/>
      <c r="AT281" s="132"/>
      <c r="AU281" s="132"/>
      <c r="AV281" s="131"/>
      <c r="AW281" s="132"/>
      <c r="AX281" s="132"/>
      <c r="AY281" s="132"/>
      <c r="AZ281" s="132"/>
      <c r="BA281" s="131"/>
      <c r="BB281" s="132"/>
      <c r="BC281" s="132"/>
      <c r="BD281" s="132"/>
      <c r="BE281" s="132"/>
      <c r="BF281" s="131"/>
      <c r="BG281" s="132"/>
      <c r="BH281" s="132"/>
      <c r="BI281" s="132"/>
      <c r="BJ281" s="132"/>
      <c r="BK281" s="131"/>
      <c r="BL281" s="132"/>
      <c r="BM281" s="132"/>
      <c r="BN281" s="132"/>
      <c r="BO281" s="132"/>
      <c r="BP281" s="131"/>
      <c r="BQ281" s="132"/>
      <c r="BR281" s="132"/>
      <c r="BS281" s="132"/>
      <c r="BT281" s="125"/>
      <c r="BU281" s="124"/>
      <c r="BV281" s="125"/>
      <c r="BW281" s="125"/>
      <c r="BX281" s="125"/>
      <c r="BY281" s="132"/>
      <c r="BZ281" s="131"/>
      <c r="CA281" s="132"/>
      <c r="CB281" s="132"/>
      <c r="CC281" s="132"/>
      <c r="CD281" s="132"/>
      <c r="CE281" s="131"/>
      <c r="CF281" s="132"/>
      <c r="CG281" s="132"/>
      <c r="CH281" s="132"/>
      <c r="CI281" s="132"/>
      <c r="CJ281" s="124"/>
      <c r="CK281" s="132"/>
      <c r="CL281" s="132"/>
      <c r="CM281" s="132"/>
      <c r="CN281" s="132"/>
      <c r="CO281" s="127">
        <v>17.842</v>
      </c>
      <c r="CP281" s="126">
        <v>5.965</v>
      </c>
      <c r="CQ281" s="126">
        <v>5.794</v>
      </c>
      <c r="CR281" s="126">
        <v>6.521</v>
      </c>
      <c r="CS281" s="126">
        <f>CT281-CP281-CQ281-CR281</f>
        <v>7.466</v>
      </c>
      <c r="CT281" s="127">
        <v>25.746</v>
      </c>
      <c r="CU281" s="126">
        <v>8.025</v>
      </c>
      <c r="CV281" s="126">
        <v>7.762</v>
      </c>
      <c r="CW281" s="126">
        <v>8.136</v>
      </c>
      <c r="CX281" s="126">
        <f>CY281-CU281-CV281-CW281</f>
        <v>9.283</v>
      </c>
      <c r="CY281" s="127">
        <v>33.206</v>
      </c>
      <c r="CZ281" s="126">
        <v>8.576</v>
      </c>
      <c r="DA281" s="126">
        <v>8.871</v>
      </c>
      <c r="DB281" s="126">
        <v>8.136</v>
      </c>
      <c r="DC281" s="126">
        <f>DD281-CZ281-DA281-DB281</f>
        <v>12.615</v>
      </c>
      <c r="DD281" s="134">
        <v>38.198</v>
      </c>
      <c r="DE281" s="133">
        <v>11.99</v>
      </c>
      <c r="DF281" s="133">
        <v>11.144</v>
      </c>
      <c r="DG281" s="132"/>
      <c r="DH281" s="132"/>
      <c r="DI281" s="131"/>
      <c r="DJ281" s="132"/>
      <c r="DK281" s="132"/>
      <c r="DL281" s="132"/>
      <c r="DM281" s="132"/>
      <c r="DN281" s="131"/>
      <c r="DO281" s="132"/>
      <c r="DP281" s="132"/>
      <c r="DQ281" s="132"/>
      <c r="DR281" s="132"/>
      <c r="DS281" s="131"/>
    </row>
    <row r="282" s="89" customFormat="1" hidden="1" outlineLevel="1" spans="2:123">
      <c r="B282" s="175" t="s">
        <v>399</v>
      </c>
      <c r="C282" s="337"/>
      <c r="D282" s="132"/>
      <c r="E282" s="132"/>
      <c r="F282" s="132"/>
      <c r="G282" s="132"/>
      <c r="H282" s="131"/>
      <c r="I282" s="132"/>
      <c r="J282" s="132"/>
      <c r="K282" s="132"/>
      <c r="L282" s="132"/>
      <c r="M282" s="131"/>
      <c r="N282" s="132"/>
      <c r="O282" s="132"/>
      <c r="P282" s="132"/>
      <c r="Q282" s="132"/>
      <c r="R282" s="131"/>
      <c r="S282" s="132"/>
      <c r="T282" s="132"/>
      <c r="U282" s="132"/>
      <c r="V282" s="132"/>
      <c r="W282" s="131"/>
      <c r="X282" s="132"/>
      <c r="Y282" s="132"/>
      <c r="Z282" s="132"/>
      <c r="AA282" s="132"/>
      <c r="AB282" s="131"/>
      <c r="AC282" s="132"/>
      <c r="AD282" s="132"/>
      <c r="AE282" s="132"/>
      <c r="AF282" s="132"/>
      <c r="AG282" s="131"/>
      <c r="AH282" s="132"/>
      <c r="AI282" s="132"/>
      <c r="AJ282" s="132"/>
      <c r="AK282" s="132"/>
      <c r="AL282" s="131"/>
      <c r="AM282" s="132"/>
      <c r="AN282" s="132"/>
      <c r="AO282" s="132"/>
      <c r="AP282" s="132"/>
      <c r="AQ282" s="131"/>
      <c r="AR282" s="132"/>
      <c r="AS282" s="132"/>
      <c r="AT282" s="132"/>
      <c r="AU282" s="132"/>
      <c r="AV282" s="131"/>
      <c r="AW282" s="132"/>
      <c r="AX282" s="132"/>
      <c r="AY282" s="132"/>
      <c r="AZ282" s="132"/>
      <c r="BA282" s="131"/>
      <c r="BB282" s="132"/>
      <c r="BC282" s="132"/>
      <c r="BD282" s="132"/>
      <c r="BE282" s="132"/>
      <c r="BF282" s="131"/>
      <c r="BG282" s="132"/>
      <c r="BH282" s="132"/>
      <c r="BI282" s="132"/>
      <c r="BJ282" s="132"/>
      <c r="BK282" s="131"/>
      <c r="BL282" s="132"/>
      <c r="BM282" s="132"/>
      <c r="BN282" s="132"/>
      <c r="BO282" s="132"/>
      <c r="BP282" s="131"/>
      <c r="BQ282" s="132"/>
      <c r="BR282" s="132"/>
      <c r="BS282" s="132"/>
      <c r="BT282" s="125"/>
      <c r="BU282" s="124"/>
      <c r="BV282" s="125"/>
      <c r="BW282" s="125"/>
      <c r="BX282" s="125"/>
      <c r="BY282" s="132"/>
      <c r="BZ282" s="131"/>
      <c r="CA282" s="132"/>
      <c r="CB282" s="132"/>
      <c r="CC282" s="132"/>
      <c r="CD282" s="132"/>
      <c r="CE282" s="131"/>
      <c r="CF282" s="132"/>
      <c r="CG282" s="132"/>
      <c r="CH282" s="132"/>
      <c r="CI282" s="132"/>
      <c r="CJ282" s="131"/>
      <c r="CK282" s="132"/>
      <c r="CL282" s="132"/>
      <c r="CM282" s="132"/>
      <c r="CN282" s="132"/>
      <c r="CO282" s="134">
        <f t="shared" ref="CO282:DF282" si="1336">CO272+CO281</f>
        <v>214.707</v>
      </c>
      <c r="CP282" s="133">
        <f t="shared" si="1336"/>
        <v>79.85</v>
      </c>
      <c r="CQ282" s="133">
        <f t="shared" si="1336"/>
        <v>89.275</v>
      </c>
      <c r="CR282" s="133">
        <f t="shared" si="1336"/>
        <v>83.313</v>
      </c>
      <c r="CS282" s="133">
        <f t="shared" si="1336"/>
        <v>110.624</v>
      </c>
      <c r="CT282" s="134">
        <f t="shared" si="1336"/>
        <v>363.062</v>
      </c>
      <c r="CU282" s="133">
        <f t="shared" si="1336"/>
        <v>127.803</v>
      </c>
      <c r="CV282" s="133">
        <f t="shared" si="1336"/>
        <v>126.847</v>
      </c>
      <c r="CW282" s="133">
        <f t="shared" si="1336"/>
        <v>118.736</v>
      </c>
      <c r="CX282" s="133">
        <f t="shared" si="1336"/>
        <v>169.679</v>
      </c>
      <c r="CY282" s="134">
        <f t="shared" si="1336"/>
        <v>543.065</v>
      </c>
      <c r="CZ282" s="133">
        <f t="shared" si="1336"/>
        <v>162.211</v>
      </c>
      <c r="DA282" s="133">
        <f t="shared" si="1336"/>
        <v>161.361</v>
      </c>
      <c r="DB282" s="133">
        <f t="shared" si="1336"/>
        <v>181.152</v>
      </c>
      <c r="DC282" s="133">
        <f t="shared" si="1336"/>
        <v>234.597</v>
      </c>
      <c r="DD282" s="134">
        <f t="shared" si="1336"/>
        <v>739.321</v>
      </c>
      <c r="DE282" s="133">
        <f t="shared" si="1336"/>
        <v>215.059</v>
      </c>
      <c r="DF282" s="133">
        <f t="shared" si="1336"/>
        <v>162.414</v>
      </c>
      <c r="DG282" s="132"/>
      <c r="DH282" s="132"/>
      <c r="DI282" s="131"/>
      <c r="DJ282" s="132"/>
      <c r="DK282" s="132"/>
      <c r="DL282" s="132"/>
      <c r="DM282" s="132"/>
      <c r="DN282" s="131"/>
      <c r="DO282" s="132"/>
      <c r="DP282" s="132"/>
      <c r="DQ282" s="132"/>
      <c r="DR282" s="132"/>
      <c r="DS282" s="131"/>
    </row>
    <row r="283" s="3" customFormat="1" hidden="1" outlineLevel="1" spans="2:123">
      <c r="B283" s="144" t="s">
        <v>370</v>
      </c>
      <c r="C283" s="284"/>
      <c r="D283" s="189"/>
      <c r="E283" s="189"/>
      <c r="F283" s="189"/>
      <c r="G283" s="189"/>
      <c r="H283" s="188"/>
      <c r="I283" s="189"/>
      <c r="J283" s="189"/>
      <c r="K283" s="189"/>
      <c r="L283" s="189"/>
      <c r="M283" s="188"/>
      <c r="N283" s="189"/>
      <c r="O283" s="189"/>
      <c r="P283" s="189"/>
      <c r="Q283" s="189"/>
      <c r="R283" s="188"/>
      <c r="S283" s="189"/>
      <c r="T283" s="189"/>
      <c r="U283" s="189"/>
      <c r="V283" s="189"/>
      <c r="W283" s="188"/>
      <c r="X283" s="189"/>
      <c r="Y283" s="189"/>
      <c r="Z283" s="195"/>
      <c r="AA283" s="195"/>
      <c r="AB283" s="188"/>
      <c r="AC283" s="195"/>
      <c r="AD283" s="195"/>
      <c r="AE283" s="195"/>
      <c r="AF283" s="195"/>
      <c r="AG283" s="194"/>
      <c r="AH283" s="195"/>
      <c r="AI283" s="195"/>
      <c r="AJ283" s="195"/>
      <c r="AK283" s="195"/>
      <c r="AL283" s="194"/>
      <c r="AM283" s="195"/>
      <c r="AN283" s="195"/>
      <c r="AO283" s="195"/>
      <c r="AP283" s="195"/>
      <c r="AQ283" s="194"/>
      <c r="AR283" s="195"/>
      <c r="AS283" s="195"/>
      <c r="AT283" s="195"/>
      <c r="AU283" s="195"/>
      <c r="AV283" s="194"/>
      <c r="AW283" s="195"/>
      <c r="AX283" s="195"/>
      <c r="AY283" s="195"/>
      <c r="AZ283" s="195"/>
      <c r="BA283" s="194"/>
      <c r="BB283" s="195"/>
      <c r="BC283" s="195"/>
      <c r="BD283" s="195"/>
      <c r="BE283" s="195"/>
      <c r="BF283" s="194"/>
      <c r="BG283" s="195"/>
      <c r="BH283" s="195"/>
      <c r="BI283" s="195"/>
      <c r="BJ283" s="195"/>
      <c r="BK283" s="194"/>
      <c r="BL283" s="195"/>
      <c r="BM283" s="195"/>
      <c r="BN283" s="195"/>
      <c r="BO283" s="195"/>
      <c r="BP283" s="194"/>
      <c r="BQ283" s="195"/>
      <c r="BR283" s="195"/>
      <c r="BS283" s="195"/>
      <c r="BT283" s="120"/>
      <c r="BU283" s="119"/>
      <c r="BV283" s="120"/>
      <c r="BW283" s="120"/>
      <c r="BX283" s="120"/>
      <c r="BY283" s="189"/>
      <c r="BZ283" s="188"/>
      <c r="CA283" s="189"/>
      <c r="CB283" s="189"/>
      <c r="CC283" s="189"/>
      <c r="CD283" s="189"/>
      <c r="CE283" s="188"/>
      <c r="CF283" s="189"/>
      <c r="CG283" s="189"/>
      <c r="CH283" s="189"/>
      <c r="CI283" s="189"/>
      <c r="CJ283" s="140"/>
      <c r="CK283" s="189"/>
      <c r="CL283" s="189"/>
      <c r="CM283" s="189"/>
      <c r="CN283" s="189"/>
      <c r="CO283" s="749" t="s">
        <v>208</v>
      </c>
      <c r="CP283" s="772" t="s">
        <v>208</v>
      </c>
      <c r="CQ283" s="772" t="s">
        <v>208</v>
      </c>
      <c r="CR283" s="772" t="s">
        <v>208</v>
      </c>
      <c r="CS283" s="772" t="s">
        <v>208</v>
      </c>
      <c r="CT283" s="140">
        <f t="shared" ref="CT283:DF283" si="1337">CT282/CO282-1</f>
        <v>0.690964896347115</v>
      </c>
      <c r="CU283" s="291">
        <f t="shared" si="1337"/>
        <v>0.600538509705698</v>
      </c>
      <c r="CV283" s="291">
        <f t="shared" si="1337"/>
        <v>0.42085690282834</v>
      </c>
      <c r="CW283" s="291">
        <f t="shared" si="1337"/>
        <v>0.425179743857501</v>
      </c>
      <c r="CX283" s="291">
        <f t="shared" si="1337"/>
        <v>0.533835334104715</v>
      </c>
      <c r="CY283" s="140">
        <f t="shared" si="1337"/>
        <v>0.495791352441181</v>
      </c>
      <c r="CZ283" s="291">
        <f t="shared" si="1337"/>
        <v>0.269226856959539</v>
      </c>
      <c r="DA283" s="291">
        <f t="shared" si="1337"/>
        <v>0.272091574889434</v>
      </c>
      <c r="DB283" s="291">
        <f t="shared" si="1337"/>
        <v>0.525670394825495</v>
      </c>
      <c r="DC283" s="291">
        <f t="shared" si="1337"/>
        <v>0.382593013867362</v>
      </c>
      <c r="DD283" s="140">
        <f t="shared" si="1337"/>
        <v>0.361385837791057</v>
      </c>
      <c r="DE283" s="291">
        <f t="shared" si="1337"/>
        <v>0.325797880538311</v>
      </c>
      <c r="DF283" s="291">
        <f t="shared" si="1337"/>
        <v>0.00652574042054765</v>
      </c>
      <c r="DG283" s="189"/>
      <c r="DH283" s="189"/>
      <c r="DI283" s="188"/>
      <c r="DJ283" s="189"/>
      <c r="DK283" s="189"/>
      <c r="DL283" s="189"/>
      <c r="DM283" s="189"/>
      <c r="DN283" s="188"/>
      <c r="DO283" s="189"/>
      <c r="DP283" s="189"/>
      <c r="DQ283" s="189"/>
      <c r="DR283" s="189"/>
      <c r="DS283" s="188"/>
    </row>
    <row r="284" s="3" customFormat="1" hidden="1" outlineLevel="1" spans="2:123">
      <c r="B284" s="144" t="s">
        <v>322</v>
      </c>
      <c r="C284" s="284"/>
      <c r="D284" s="189"/>
      <c r="E284" s="189"/>
      <c r="F284" s="189"/>
      <c r="G284" s="189"/>
      <c r="H284" s="188"/>
      <c r="I284" s="189"/>
      <c r="J284" s="189"/>
      <c r="K284" s="189"/>
      <c r="L284" s="189"/>
      <c r="M284" s="188"/>
      <c r="N284" s="189"/>
      <c r="O284" s="189"/>
      <c r="P284" s="189"/>
      <c r="Q284" s="189"/>
      <c r="R284" s="188"/>
      <c r="S284" s="189"/>
      <c r="T284" s="189"/>
      <c r="U284" s="189"/>
      <c r="V284" s="189"/>
      <c r="W284" s="188"/>
      <c r="X284" s="189"/>
      <c r="Y284" s="189"/>
      <c r="Z284" s="195"/>
      <c r="AA284" s="195"/>
      <c r="AB284" s="188"/>
      <c r="AC284" s="195"/>
      <c r="AD284" s="195"/>
      <c r="AE284" s="195"/>
      <c r="AF284" s="195"/>
      <c r="AG284" s="194"/>
      <c r="AH284" s="195"/>
      <c r="AI284" s="195"/>
      <c r="AJ284" s="195"/>
      <c r="AK284" s="195"/>
      <c r="AL284" s="194"/>
      <c r="AM284" s="195"/>
      <c r="AN284" s="195"/>
      <c r="AO284" s="195"/>
      <c r="AP284" s="195"/>
      <c r="AQ284" s="194"/>
      <c r="AR284" s="195"/>
      <c r="AS284" s="195"/>
      <c r="AT284" s="195"/>
      <c r="AU284" s="195"/>
      <c r="AV284" s="194"/>
      <c r="AW284" s="195"/>
      <c r="AX284" s="195"/>
      <c r="AY284" s="195"/>
      <c r="AZ284" s="195"/>
      <c r="BA284" s="194"/>
      <c r="BB284" s="195"/>
      <c r="BC284" s="195"/>
      <c r="BD284" s="195"/>
      <c r="BE284" s="195"/>
      <c r="BF284" s="194"/>
      <c r="BG284" s="195"/>
      <c r="BH284" s="195"/>
      <c r="BI284" s="195"/>
      <c r="BJ284" s="195"/>
      <c r="BK284" s="194"/>
      <c r="BL284" s="195"/>
      <c r="BM284" s="195"/>
      <c r="BN284" s="195"/>
      <c r="BO284" s="195"/>
      <c r="BP284" s="194"/>
      <c r="BQ284" s="195"/>
      <c r="BR284" s="195"/>
      <c r="BS284" s="195"/>
      <c r="BT284" s="120"/>
      <c r="BU284" s="119"/>
      <c r="BV284" s="120"/>
      <c r="BW284" s="120"/>
      <c r="BX284" s="120"/>
      <c r="BY284" s="189"/>
      <c r="BZ284" s="188"/>
      <c r="CA284" s="189"/>
      <c r="CB284" s="189"/>
      <c r="CC284" s="189"/>
      <c r="CD284" s="189"/>
      <c r="CE284" s="188"/>
      <c r="CF284" s="189"/>
      <c r="CG284" s="189"/>
      <c r="CH284" s="189"/>
      <c r="CI284" s="189"/>
      <c r="CJ284" s="140"/>
      <c r="CK284" s="189"/>
      <c r="CL284" s="189"/>
      <c r="CM284" s="189"/>
      <c r="CN284" s="189"/>
      <c r="CO284" s="140">
        <f t="shared" ref="CO284:DF284" si="1338">CO282/CO236</f>
        <v>0.372429978681811</v>
      </c>
      <c r="CP284" s="343">
        <f t="shared" si="1338"/>
        <v>0.380115010377592</v>
      </c>
      <c r="CQ284" s="343">
        <f t="shared" si="1338"/>
        <v>0.380792936509629</v>
      </c>
      <c r="CR284" s="343">
        <f t="shared" si="1338"/>
        <v>0.364456790393491</v>
      </c>
      <c r="CS284" s="343">
        <f t="shared" si="1338"/>
        <v>0.38060636087142</v>
      </c>
      <c r="CT284" s="140">
        <f t="shared" si="1338"/>
        <v>0.37671411969785</v>
      </c>
      <c r="CU284" s="343">
        <f t="shared" si="1338"/>
        <v>0.420700756453556</v>
      </c>
      <c r="CV284" s="343">
        <f t="shared" si="1338"/>
        <v>0.403728329126736</v>
      </c>
      <c r="CW284" s="343">
        <f t="shared" si="1338"/>
        <v>0.372987202281851</v>
      </c>
      <c r="CX284" s="343">
        <f t="shared" si="1338"/>
        <v>0.399222161572053</v>
      </c>
      <c r="CY284" s="140">
        <f t="shared" si="1338"/>
        <v>0.398920326120571</v>
      </c>
      <c r="CZ284" s="343">
        <f t="shared" si="1338"/>
        <v>0.440669816164585</v>
      </c>
      <c r="DA284" s="343">
        <f t="shared" si="1338"/>
        <v>0.410694378693707</v>
      </c>
      <c r="DB284" s="343">
        <f t="shared" si="1338"/>
        <v>0.389271148052484</v>
      </c>
      <c r="DC284" s="343">
        <f t="shared" si="1338"/>
        <v>0.443944228083522</v>
      </c>
      <c r="DD284" s="140">
        <f t="shared" si="1338"/>
        <v>0.421313780096752</v>
      </c>
      <c r="DE284" s="343">
        <f t="shared" si="1338"/>
        <v>0.449542741876483</v>
      </c>
      <c r="DF284" s="343">
        <f t="shared" si="1338"/>
        <v>0.39895847406625</v>
      </c>
      <c r="DG284" s="189"/>
      <c r="DH284" s="189"/>
      <c r="DI284" s="188"/>
      <c r="DJ284" s="189"/>
      <c r="DK284" s="189"/>
      <c r="DL284" s="189"/>
      <c r="DM284" s="189"/>
      <c r="DN284" s="188"/>
      <c r="DO284" s="189"/>
      <c r="DP284" s="189"/>
      <c r="DQ284" s="189"/>
      <c r="DR284" s="189"/>
      <c r="DS284" s="188"/>
    </row>
    <row r="285" s="3" customFormat="1" hidden="1" outlineLevel="1" spans="2:123">
      <c r="B285" s="144" t="s">
        <v>379</v>
      </c>
      <c r="C285" s="284"/>
      <c r="D285" s="189"/>
      <c r="E285" s="189"/>
      <c r="F285" s="189"/>
      <c r="G285" s="189"/>
      <c r="H285" s="188"/>
      <c r="I285" s="189"/>
      <c r="J285" s="189"/>
      <c r="K285" s="189"/>
      <c r="L285" s="189"/>
      <c r="M285" s="188"/>
      <c r="N285" s="189"/>
      <c r="O285" s="189"/>
      <c r="P285" s="189"/>
      <c r="Q285" s="189"/>
      <c r="R285" s="188"/>
      <c r="S285" s="189"/>
      <c r="T285" s="189"/>
      <c r="U285" s="189"/>
      <c r="V285" s="189"/>
      <c r="W285" s="188"/>
      <c r="X285" s="189"/>
      <c r="Y285" s="189"/>
      <c r="Z285" s="195"/>
      <c r="AA285" s="195"/>
      <c r="AB285" s="188"/>
      <c r="AC285" s="195"/>
      <c r="AD285" s="195"/>
      <c r="AE285" s="195"/>
      <c r="AF285" s="195"/>
      <c r="AG285" s="194"/>
      <c r="AH285" s="195"/>
      <c r="AI285" s="195"/>
      <c r="AJ285" s="195"/>
      <c r="AK285" s="195"/>
      <c r="AL285" s="194"/>
      <c r="AM285" s="195"/>
      <c r="AN285" s="195"/>
      <c r="AO285" s="195"/>
      <c r="AP285" s="195"/>
      <c r="AQ285" s="194"/>
      <c r="AR285" s="195"/>
      <c r="AS285" s="195"/>
      <c r="AT285" s="195"/>
      <c r="AU285" s="195"/>
      <c r="AV285" s="194"/>
      <c r="AW285" s="195"/>
      <c r="AX285" s="195"/>
      <c r="AY285" s="195"/>
      <c r="AZ285" s="195"/>
      <c r="BA285" s="194"/>
      <c r="BB285" s="195"/>
      <c r="BC285" s="195"/>
      <c r="BD285" s="195"/>
      <c r="BE285" s="195"/>
      <c r="BF285" s="194"/>
      <c r="BG285" s="195"/>
      <c r="BH285" s="195"/>
      <c r="BI285" s="195"/>
      <c r="BJ285" s="195"/>
      <c r="BK285" s="194"/>
      <c r="BL285" s="195"/>
      <c r="BM285" s="195"/>
      <c r="BN285" s="195"/>
      <c r="BO285" s="195"/>
      <c r="BP285" s="194"/>
      <c r="BQ285" s="195"/>
      <c r="BR285" s="195"/>
      <c r="BS285" s="195"/>
      <c r="BT285" s="120"/>
      <c r="BU285" s="119"/>
      <c r="BV285" s="120"/>
      <c r="BW285" s="120"/>
      <c r="BX285" s="120"/>
      <c r="BY285" s="189"/>
      <c r="BZ285" s="188"/>
      <c r="CA285" s="189"/>
      <c r="CB285" s="189"/>
      <c r="CC285" s="189"/>
      <c r="CD285" s="189"/>
      <c r="CE285" s="188"/>
      <c r="CF285" s="189"/>
      <c r="CG285" s="189"/>
      <c r="CH285" s="189"/>
      <c r="CI285" s="189"/>
      <c r="CJ285" s="140"/>
      <c r="CK285" s="189"/>
      <c r="CL285" s="189"/>
      <c r="CM285" s="189"/>
      <c r="CN285" s="189"/>
      <c r="CO285" s="749" t="s">
        <v>208</v>
      </c>
      <c r="CP285" s="772" t="s">
        <v>208</v>
      </c>
      <c r="CQ285" s="772" t="s">
        <v>208</v>
      </c>
      <c r="CR285" s="772" t="s">
        <v>208</v>
      </c>
      <c r="CS285" s="772" t="s">
        <v>208</v>
      </c>
      <c r="CT285" s="329">
        <f t="shared" ref="CT285:DF285" si="1339">(CT284-CO284)*100*100</f>
        <v>42.8414101603924</v>
      </c>
      <c r="CU285" s="330">
        <f t="shared" si="1339"/>
        <v>405.857460759641</v>
      </c>
      <c r="CV285" s="330">
        <f t="shared" si="1339"/>
        <v>229.353926171067</v>
      </c>
      <c r="CW285" s="330">
        <f t="shared" si="1339"/>
        <v>85.3041188836062</v>
      </c>
      <c r="CX285" s="330">
        <f t="shared" si="1339"/>
        <v>186.158007006326</v>
      </c>
      <c r="CY285" s="329">
        <f t="shared" si="1339"/>
        <v>222.062064227211</v>
      </c>
      <c r="CZ285" s="330">
        <f t="shared" si="1339"/>
        <v>199.690597110291</v>
      </c>
      <c r="DA285" s="330">
        <f t="shared" si="1339"/>
        <v>69.66049566971</v>
      </c>
      <c r="DB285" s="330">
        <f t="shared" si="1339"/>
        <v>162.839457706325</v>
      </c>
      <c r="DC285" s="330">
        <f t="shared" si="1339"/>
        <v>447.220665114693</v>
      </c>
      <c r="DD285" s="329">
        <f t="shared" si="1339"/>
        <v>223.934539761807</v>
      </c>
      <c r="DE285" s="330">
        <f t="shared" si="1339"/>
        <v>88.7292571189763</v>
      </c>
      <c r="DF285" s="330">
        <f t="shared" si="1339"/>
        <v>-117.359046274569</v>
      </c>
      <c r="DG285" s="189"/>
      <c r="DH285" s="189"/>
      <c r="DI285" s="188"/>
      <c r="DJ285" s="189"/>
      <c r="DK285" s="189"/>
      <c r="DL285" s="189"/>
      <c r="DM285" s="189"/>
      <c r="DN285" s="188"/>
      <c r="DO285" s="189"/>
      <c r="DP285" s="189"/>
      <c r="DQ285" s="189"/>
      <c r="DR285" s="189"/>
      <c r="DS285" s="188"/>
    </row>
    <row r="286" s="3" customFormat="1" hidden="1" outlineLevel="1" spans="2:123">
      <c r="B286" s="321"/>
      <c r="C286" s="322"/>
      <c r="D286" s="323"/>
      <c r="E286" s="323"/>
      <c r="F286" s="323"/>
      <c r="G286" s="323"/>
      <c r="H286" s="324"/>
      <c r="I286" s="323"/>
      <c r="J286" s="323"/>
      <c r="K286" s="323"/>
      <c r="L286" s="323"/>
      <c r="M286" s="324"/>
      <c r="N286" s="323"/>
      <c r="O286" s="323"/>
      <c r="P286" s="323"/>
      <c r="Q286" s="323"/>
      <c r="R286" s="324"/>
      <c r="S286" s="323"/>
      <c r="T286" s="323"/>
      <c r="U286" s="323"/>
      <c r="V286" s="323"/>
      <c r="W286" s="324"/>
      <c r="X286" s="323"/>
      <c r="Y286" s="323"/>
      <c r="Z286" s="325"/>
      <c r="AA286" s="325"/>
      <c r="AB286" s="324"/>
      <c r="AC286" s="325"/>
      <c r="AD286" s="325"/>
      <c r="AE286" s="325"/>
      <c r="AF286" s="325"/>
      <c r="AG286" s="326"/>
      <c r="AH286" s="325"/>
      <c r="AI286" s="325"/>
      <c r="AJ286" s="325"/>
      <c r="AK286" s="325"/>
      <c r="AL286" s="326"/>
      <c r="AM286" s="325"/>
      <c r="AN286" s="325"/>
      <c r="AO286" s="325"/>
      <c r="AP286" s="325"/>
      <c r="AQ286" s="326"/>
      <c r="AR286" s="325"/>
      <c r="AS286" s="325"/>
      <c r="AT286" s="325"/>
      <c r="AU286" s="325"/>
      <c r="AV286" s="326"/>
      <c r="AW286" s="325"/>
      <c r="AX286" s="325"/>
      <c r="AY286" s="325"/>
      <c r="AZ286" s="325"/>
      <c r="BA286" s="326"/>
      <c r="BB286" s="325"/>
      <c r="BC286" s="325"/>
      <c r="BD286" s="325"/>
      <c r="BE286" s="325"/>
      <c r="BF286" s="326"/>
      <c r="BG286" s="325"/>
      <c r="BH286" s="325"/>
      <c r="BI286" s="325"/>
      <c r="BJ286" s="325"/>
      <c r="BK286" s="326"/>
      <c r="BL286" s="325"/>
      <c r="BM286" s="325"/>
      <c r="BN286" s="325"/>
      <c r="BO286" s="325"/>
      <c r="BP286" s="326"/>
      <c r="BQ286" s="325"/>
      <c r="BR286" s="325"/>
      <c r="BS286" s="325"/>
      <c r="BT286" s="327"/>
      <c r="BU286" s="328"/>
      <c r="BV286" s="327"/>
      <c r="BW286" s="327"/>
      <c r="BX286" s="327"/>
      <c r="BY286" s="323"/>
      <c r="BZ286" s="324"/>
      <c r="CA286" s="323"/>
      <c r="CB286" s="323"/>
      <c r="CC286" s="323"/>
      <c r="CD286" s="323"/>
      <c r="CE286" s="324"/>
      <c r="CF286" s="323"/>
      <c r="CG286" s="323"/>
      <c r="CH286" s="323"/>
      <c r="CI286" s="323"/>
      <c r="CJ286" s="324"/>
      <c r="CK286" s="323"/>
      <c r="CL286" s="323"/>
      <c r="CM286" s="323"/>
      <c r="CN286" s="323"/>
      <c r="CO286" s="324"/>
      <c r="CP286" s="323"/>
      <c r="CQ286" s="323"/>
      <c r="CR286" s="323"/>
      <c r="CS286" s="323"/>
      <c r="CT286" s="324"/>
      <c r="CU286" s="189"/>
      <c r="CV286" s="323"/>
      <c r="CW286" s="323"/>
      <c r="CX286" s="323"/>
      <c r="CY286" s="324"/>
      <c r="CZ286" s="189"/>
      <c r="DA286" s="323"/>
      <c r="DB286" s="323"/>
      <c r="DC286" s="323"/>
      <c r="DD286" s="324"/>
      <c r="DE286" s="189"/>
      <c r="DF286" s="323"/>
      <c r="DG286" s="323"/>
      <c r="DH286" s="323"/>
      <c r="DI286" s="324"/>
      <c r="DJ286" s="323"/>
      <c r="DK286" s="323"/>
      <c r="DL286" s="323"/>
      <c r="DM286" s="323"/>
      <c r="DN286" s="188"/>
      <c r="DO286" s="189"/>
      <c r="DP286" s="323"/>
      <c r="DQ286" s="323"/>
      <c r="DR286" s="323"/>
      <c r="DS286" s="324"/>
    </row>
    <row r="287" s="3" customFormat="1" collapsed="1" spans="2:123">
      <c r="B287" s="184" t="s">
        <v>59</v>
      </c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  <c r="AC287" s="185"/>
      <c r="AD287" s="185"/>
      <c r="AE287" s="185"/>
      <c r="AF287" s="185"/>
      <c r="AG287" s="185"/>
      <c r="AH287" s="185"/>
      <c r="AI287" s="185"/>
      <c r="AJ287" s="185"/>
      <c r="AK287" s="185"/>
      <c r="AL287" s="185"/>
      <c r="AM287" s="185"/>
      <c r="AN287" s="185"/>
      <c r="AO287" s="185"/>
      <c r="AP287" s="185"/>
      <c r="AQ287" s="185"/>
      <c r="AR287" s="185"/>
      <c r="AS287" s="185"/>
      <c r="AT287" s="185"/>
      <c r="AU287" s="185"/>
      <c r="AV287" s="185"/>
      <c r="AW287" s="185"/>
      <c r="AX287" s="185"/>
      <c r="AY287" s="185"/>
      <c r="AZ287" s="185"/>
      <c r="BA287" s="185"/>
      <c r="BB287" s="185"/>
      <c r="BC287" s="185"/>
      <c r="BD287" s="185"/>
      <c r="BE287" s="185"/>
      <c r="BF287" s="185"/>
      <c r="BG287" s="185"/>
      <c r="BH287" s="185"/>
      <c r="BI287" s="185"/>
      <c r="BJ287" s="185"/>
      <c r="BK287" s="185"/>
      <c r="BL287" s="185"/>
      <c r="BM287" s="185"/>
      <c r="BN287" s="185"/>
      <c r="BO287" s="185"/>
      <c r="BP287" s="185"/>
      <c r="BQ287" s="185"/>
      <c r="BR287" s="185"/>
      <c r="BS287" s="185"/>
      <c r="BT287" s="185"/>
      <c r="BU287" s="185"/>
      <c r="BV287" s="185"/>
      <c r="BW287" s="185"/>
      <c r="BX287" s="185"/>
      <c r="BY287" s="185"/>
      <c r="BZ287" s="185"/>
      <c r="CA287" s="185"/>
      <c r="CB287" s="185"/>
      <c r="CC287" s="185"/>
      <c r="CD287" s="185"/>
      <c r="CE287" s="185"/>
      <c r="CF287" s="282"/>
      <c r="CG287" s="282"/>
      <c r="CH287" s="282"/>
      <c r="CI287" s="282"/>
      <c r="CJ287" s="185"/>
      <c r="CK287" s="282"/>
      <c r="CL287" s="282"/>
      <c r="CM287" s="282"/>
      <c r="CN287" s="282"/>
      <c r="CO287" s="185"/>
      <c r="CP287" s="282"/>
      <c r="CQ287" s="282"/>
      <c r="CR287" s="282"/>
      <c r="CS287" s="282"/>
      <c r="CT287" s="185"/>
      <c r="CU287" s="185"/>
      <c r="CV287" s="185"/>
      <c r="CW287" s="185"/>
      <c r="CX287" s="185"/>
      <c r="CY287" s="185"/>
      <c r="CZ287" s="185"/>
      <c r="DA287" s="185"/>
      <c r="DB287" s="185"/>
      <c r="DC287" s="185"/>
      <c r="DD287" s="185"/>
      <c r="DE287" s="282"/>
      <c r="DF287" s="185"/>
      <c r="DG287" s="185"/>
      <c r="DH287" s="185"/>
      <c r="DI287" s="185"/>
      <c r="DJ287" s="185"/>
      <c r="DK287" s="185"/>
      <c r="DL287" s="185"/>
      <c r="DM287" s="185"/>
      <c r="DN287" s="185"/>
      <c r="DO287" s="185"/>
      <c r="DP287" s="185"/>
      <c r="DQ287" s="185"/>
      <c r="DR287" s="185"/>
      <c r="DS287" s="186"/>
    </row>
    <row r="288" s="3" customFormat="1" spans="2:123">
      <c r="B288" s="130"/>
      <c r="C288" s="284"/>
      <c r="D288" s="189"/>
      <c r="E288" s="189"/>
      <c r="F288" s="189"/>
      <c r="G288" s="189"/>
      <c r="H288" s="188"/>
      <c r="I288" s="189"/>
      <c r="J288" s="189"/>
      <c r="K288" s="189"/>
      <c r="L288" s="189"/>
      <c r="M288" s="188"/>
      <c r="N288" s="189"/>
      <c r="O288" s="189"/>
      <c r="P288" s="189"/>
      <c r="Q288" s="189"/>
      <c r="R288" s="188"/>
      <c r="S288" s="189"/>
      <c r="T288" s="189"/>
      <c r="U288" s="189"/>
      <c r="V288" s="189"/>
      <c r="W288" s="188"/>
      <c r="X288" s="189"/>
      <c r="Y288" s="189"/>
      <c r="Z288" s="195"/>
      <c r="AA288" s="195"/>
      <c r="AB288" s="188"/>
      <c r="AC288" s="195"/>
      <c r="AD288" s="195"/>
      <c r="AE288" s="195"/>
      <c r="AF288" s="195"/>
      <c r="AG288" s="194"/>
      <c r="AH288" s="195"/>
      <c r="AI288" s="195"/>
      <c r="AJ288" s="195"/>
      <c r="AK288" s="195"/>
      <c r="AL288" s="194"/>
      <c r="AM288" s="195"/>
      <c r="AN288" s="195"/>
      <c r="AO288" s="195"/>
      <c r="AP288" s="195"/>
      <c r="AQ288" s="194"/>
      <c r="AR288" s="195"/>
      <c r="AS288" s="195"/>
      <c r="AT288" s="195"/>
      <c r="AU288" s="195"/>
      <c r="AV288" s="194"/>
      <c r="AW288" s="195"/>
      <c r="AX288" s="195"/>
      <c r="AY288" s="195"/>
      <c r="AZ288" s="195"/>
      <c r="BA288" s="194"/>
      <c r="BB288" s="195"/>
      <c r="BC288" s="195"/>
      <c r="BD288" s="195"/>
      <c r="BE288" s="195"/>
      <c r="BF288" s="194"/>
      <c r="BG288" s="195"/>
      <c r="BH288" s="195"/>
      <c r="BI288" s="195"/>
      <c r="BJ288" s="195"/>
      <c r="BK288" s="194"/>
      <c r="BL288" s="195"/>
      <c r="BM288" s="195"/>
      <c r="BN288" s="195"/>
      <c r="BO288" s="195"/>
      <c r="BP288" s="194"/>
      <c r="BQ288" s="195"/>
      <c r="BR288" s="195"/>
      <c r="BS288" s="195"/>
      <c r="BT288" s="120"/>
      <c r="BU288" s="119"/>
      <c r="BV288" s="120"/>
      <c r="BW288" s="120"/>
      <c r="BX288" s="120"/>
      <c r="BY288" s="189"/>
      <c r="BZ288" s="188"/>
      <c r="CA288" s="189"/>
      <c r="CB288" s="189"/>
      <c r="CC288" s="189"/>
      <c r="CD288" s="189"/>
      <c r="CE288" s="188"/>
      <c r="CF288" s="189"/>
      <c r="CG288" s="189"/>
      <c r="CH288" s="189"/>
      <c r="CI288" s="189"/>
      <c r="CJ288" s="188"/>
      <c r="CK288" s="189"/>
      <c r="CL288" s="189"/>
      <c r="CM288" s="189"/>
      <c r="CN288" s="189"/>
      <c r="CO288" s="140"/>
      <c r="CP288" s="189"/>
      <c r="CQ288" s="189"/>
      <c r="CR288" s="189"/>
      <c r="CS288" s="189"/>
      <c r="CT288" s="140"/>
      <c r="CU288" s="189"/>
      <c r="CV288" s="189"/>
      <c r="CW288" s="189"/>
      <c r="CX288" s="335"/>
      <c r="CY288" s="188"/>
      <c r="CZ288" s="335"/>
      <c r="DA288" s="335"/>
      <c r="DB288" s="335"/>
      <c r="DC288" s="335"/>
      <c r="DD288" s="188"/>
      <c r="DE288" s="189"/>
      <c r="DF288" s="189"/>
      <c r="DG288" s="189"/>
      <c r="DH288" s="189"/>
      <c r="DI288" s="188"/>
      <c r="DJ288" s="189"/>
      <c r="DK288" s="189"/>
      <c r="DL288" s="189"/>
      <c r="DM288" s="189"/>
      <c r="DN288" s="188"/>
      <c r="DO288" s="189"/>
      <c r="DP288" s="189"/>
      <c r="DQ288" s="189"/>
      <c r="DR288" s="189"/>
      <c r="DS288" s="188"/>
    </row>
    <row r="289" s="88" customFormat="1" hidden="1" outlineLevel="1" spans="2:123">
      <c r="B289" s="208" t="s">
        <v>400</v>
      </c>
      <c r="C289" s="344"/>
      <c r="D289" s="345"/>
      <c r="E289" s="345"/>
      <c r="F289" s="345"/>
      <c r="G289" s="345"/>
      <c r="H289" s="346"/>
      <c r="I289" s="347"/>
      <c r="J289" s="347"/>
      <c r="K289" s="347"/>
      <c r="L289" s="347"/>
      <c r="M289" s="346"/>
      <c r="N289" s="347"/>
      <c r="O289" s="347"/>
      <c r="P289" s="347"/>
      <c r="Q289" s="347"/>
      <c r="R289" s="346"/>
      <c r="S289" s="347"/>
      <c r="T289" s="347"/>
      <c r="U289" s="347"/>
      <c r="V289" s="347"/>
      <c r="W289" s="346"/>
      <c r="X289" s="347"/>
      <c r="Y289" s="347"/>
      <c r="Z289" s="347"/>
      <c r="AA289" s="347"/>
      <c r="AB289" s="346"/>
      <c r="AC289" s="347"/>
      <c r="AD289" s="347"/>
      <c r="AE289" s="347"/>
      <c r="AF289" s="347"/>
      <c r="AG289" s="346"/>
      <c r="AH289" s="347"/>
      <c r="AI289" s="347"/>
      <c r="AJ289" s="347"/>
      <c r="AK289" s="347"/>
      <c r="AL289" s="346"/>
      <c r="AM289" s="347"/>
      <c r="AN289" s="347"/>
      <c r="AO289" s="347"/>
      <c r="AP289" s="347"/>
      <c r="AQ289" s="346"/>
      <c r="AR289" s="347"/>
      <c r="AS289" s="347"/>
      <c r="AT289" s="347"/>
      <c r="AU289" s="347"/>
      <c r="AV289" s="346"/>
      <c r="AW289" s="347"/>
      <c r="AX289" s="347"/>
      <c r="AY289" s="347"/>
      <c r="AZ289" s="347"/>
      <c r="BA289" s="346"/>
      <c r="BB289" s="347"/>
      <c r="BC289" s="347"/>
      <c r="BD289" s="347"/>
      <c r="BE289" s="347"/>
      <c r="BF289" s="346"/>
      <c r="BG289" s="347"/>
      <c r="BH289" s="347"/>
      <c r="BI289" s="347"/>
      <c r="BJ289" s="347"/>
      <c r="BK289" s="346"/>
      <c r="BL289" s="347"/>
      <c r="BM289" s="347"/>
      <c r="BN289" s="347"/>
      <c r="BO289" s="347"/>
      <c r="BP289" s="346"/>
      <c r="BQ289" s="347"/>
      <c r="BR289" s="347"/>
      <c r="BS289" s="347"/>
      <c r="BT289" s="347"/>
      <c r="BU289" s="346"/>
      <c r="BV289" s="347"/>
      <c r="BW289" s="347"/>
      <c r="BX289" s="347"/>
      <c r="BY289" s="347"/>
      <c r="BZ289" s="346"/>
      <c r="CA289" s="125"/>
      <c r="CB289" s="125"/>
      <c r="CC289" s="125"/>
      <c r="CD289" s="125"/>
      <c r="CE289" s="124">
        <f>CE291-CE231</f>
        <v>326.449</v>
      </c>
      <c r="CF289" s="125"/>
      <c r="CG289" s="125"/>
      <c r="CH289" s="125"/>
      <c r="CI289" s="125"/>
      <c r="CJ289" s="124">
        <f>CJ291-CJ231</f>
        <v>436.339</v>
      </c>
      <c r="CK289" s="125">
        <v>130.763</v>
      </c>
      <c r="CL289" s="125">
        <v>149.325</v>
      </c>
      <c r="CM289" s="172">
        <v>142.402</v>
      </c>
      <c r="CN289" s="125">
        <f>CO289-CK289-CL289-CM289</f>
        <v>188.941</v>
      </c>
      <c r="CO289" s="127">
        <f>CO291-CO231</f>
        <v>611.431</v>
      </c>
      <c r="CP289" s="128">
        <v>183.369</v>
      </c>
      <c r="CQ289" s="128">
        <v>211.892</v>
      </c>
      <c r="CR289" s="128">
        <v>204.929</v>
      </c>
      <c r="CS289" s="348">
        <f>CT289-SUM(CP289:CR289)</f>
        <v>253.148</v>
      </c>
      <c r="CT289" s="127">
        <v>853.338</v>
      </c>
      <c r="CU289" s="126">
        <v>240.577</v>
      </c>
      <c r="CV289" s="126">
        <v>273.421</v>
      </c>
      <c r="CW289" s="126">
        <v>266.89</v>
      </c>
      <c r="CX289" s="126">
        <f>CY289-CU289-CV289-CW289</f>
        <v>337.653</v>
      </c>
      <c r="CY289" s="127">
        <v>1118.541</v>
      </c>
      <c r="CZ289" s="126">
        <v>283.897</v>
      </c>
      <c r="DA289" s="126">
        <v>326.47</v>
      </c>
      <c r="DB289" s="126">
        <v>320.713</v>
      </c>
      <c r="DC289" s="126">
        <f>DD289-CZ289-DA289-DB289</f>
        <v>370.598</v>
      </c>
      <c r="DD289" s="127">
        <v>1301.678</v>
      </c>
      <c r="DE289" s="126">
        <v>320.59</v>
      </c>
      <c r="DF289" s="126">
        <v>340.345</v>
      </c>
      <c r="DG289" s="126">
        <f>DB289*(1+DG290)</f>
        <v>368.81995</v>
      </c>
      <c r="DH289" s="126">
        <f>DC289*(1+DH290)</f>
        <v>426.1877</v>
      </c>
      <c r="DI289" s="127">
        <f>DE289+DF289+DG289+DH289</f>
        <v>1455.94265</v>
      </c>
      <c r="DJ289" s="126">
        <f>DE289*(1+DJ290)</f>
        <v>359.0608</v>
      </c>
      <c r="DK289" s="126">
        <f>DF289*(1+DK290)</f>
        <v>381.1864</v>
      </c>
      <c r="DL289" s="126">
        <f>DG289*(1+DL290)</f>
        <v>413.078344</v>
      </c>
      <c r="DM289" s="126">
        <f>DH289*(1+DM290)</f>
        <v>477.330224</v>
      </c>
      <c r="DN289" s="127">
        <f>DJ289+DK289+DL289+DM289</f>
        <v>1630.655768</v>
      </c>
      <c r="DO289" s="126">
        <f>DJ289*(1+DO290)</f>
        <v>398.557488</v>
      </c>
      <c r="DP289" s="126">
        <f>DK289*(1+DP290)</f>
        <v>423.116904</v>
      </c>
      <c r="DQ289" s="126">
        <f>DL289*(1+DQ290)</f>
        <v>458.51696184</v>
      </c>
      <c r="DR289" s="126">
        <f>DM289*(1+DR290)</f>
        <v>529.83654864</v>
      </c>
      <c r="DS289" s="127">
        <f>DO289+DP289+DQ289+DR289</f>
        <v>1810.02790248</v>
      </c>
    </row>
    <row r="290" hidden="1" outlineLevel="1" spans="2:123">
      <c r="B290" s="38" t="s">
        <v>69</v>
      </c>
      <c r="C290" s="138"/>
      <c r="D290" s="139"/>
      <c r="E290" s="139"/>
      <c r="F290" s="139"/>
      <c r="G290" s="139"/>
      <c r="H290" s="140"/>
      <c r="I290" s="141"/>
      <c r="J290" s="141"/>
      <c r="K290" s="141"/>
      <c r="L290" s="141"/>
      <c r="M290" s="140"/>
      <c r="N290" s="141"/>
      <c r="O290" s="141"/>
      <c r="P290" s="141"/>
      <c r="Q290" s="141"/>
      <c r="R290" s="140"/>
      <c r="S290" s="141"/>
      <c r="T290" s="141"/>
      <c r="U290" s="141"/>
      <c r="V290" s="141"/>
      <c r="W290" s="140"/>
      <c r="X290" s="141"/>
      <c r="Y290" s="141"/>
      <c r="Z290" s="141"/>
      <c r="AA290" s="141"/>
      <c r="AB290" s="140"/>
      <c r="AC290" s="141"/>
      <c r="AD290" s="141"/>
      <c r="AE290" s="141"/>
      <c r="AF290" s="141"/>
      <c r="AG290" s="140"/>
      <c r="AH290" s="141"/>
      <c r="AI290" s="141"/>
      <c r="AJ290" s="141"/>
      <c r="AK290" s="141"/>
      <c r="AL290" s="140"/>
      <c r="AM290" s="141"/>
      <c r="AN290" s="141"/>
      <c r="AO290" s="141"/>
      <c r="AP290" s="141"/>
      <c r="AQ290" s="140"/>
      <c r="AR290" s="141"/>
      <c r="AS290" s="141"/>
      <c r="AT290" s="141"/>
      <c r="AU290" s="141"/>
      <c r="AV290" s="140"/>
      <c r="AW290" s="141"/>
      <c r="AX290" s="141"/>
      <c r="AY290" s="141"/>
      <c r="AZ290" s="141"/>
      <c r="BA290" s="140"/>
      <c r="BB290" s="141"/>
      <c r="BC290" s="141"/>
      <c r="BD290" s="141"/>
      <c r="BE290" s="141"/>
      <c r="BF290" s="140"/>
      <c r="BG290" s="141"/>
      <c r="BH290" s="141"/>
      <c r="BI290" s="141"/>
      <c r="BJ290" s="141"/>
      <c r="BK290" s="140"/>
      <c r="BL290" s="141"/>
      <c r="BM290" s="141"/>
      <c r="BN290" s="141"/>
      <c r="BO290" s="141"/>
      <c r="BP290" s="140"/>
      <c r="BQ290" s="141"/>
      <c r="BR290" s="141"/>
      <c r="BS290" s="141"/>
      <c r="BT290" s="141"/>
      <c r="BU290" s="140"/>
      <c r="BV290" s="141"/>
      <c r="BW290" s="141"/>
      <c r="BX290" s="141"/>
      <c r="BY290" s="141"/>
      <c r="BZ290" s="140"/>
      <c r="CA290" s="141"/>
      <c r="CB290" s="141"/>
      <c r="CC290" s="141"/>
      <c r="CD290" s="141"/>
      <c r="CE290" s="140"/>
      <c r="CF290" s="141"/>
      <c r="CG290" s="141"/>
      <c r="CH290" s="141"/>
      <c r="CI290" s="141"/>
      <c r="CJ290" s="140">
        <f>CJ289/CE289-1</f>
        <v>0.33662225952599</v>
      </c>
      <c r="CK290" s="141"/>
      <c r="CL290" s="141"/>
      <c r="CM290" s="141"/>
      <c r="CN290" s="141"/>
      <c r="CO290" s="140">
        <f t="shared" ref="CO290:CW290" si="1340">CO289/CJ289-1</f>
        <v>0.401275155326478</v>
      </c>
      <c r="CP290" s="141">
        <f t="shared" si="1340"/>
        <v>0.402300344898786</v>
      </c>
      <c r="CQ290" s="141">
        <f t="shared" si="1340"/>
        <v>0.418998828059602</v>
      </c>
      <c r="CR290" s="141">
        <f t="shared" si="1340"/>
        <v>0.439087934158228</v>
      </c>
      <c r="CS290" s="141">
        <f t="shared" si="1340"/>
        <v>0.339825659862073</v>
      </c>
      <c r="CT290" s="140">
        <f t="shared" si="1340"/>
        <v>0.395640718249483</v>
      </c>
      <c r="CU290" s="141">
        <f t="shared" si="1340"/>
        <v>0.311982941500472</v>
      </c>
      <c r="CV290" s="141">
        <f t="shared" si="1340"/>
        <v>0.290379061031091</v>
      </c>
      <c r="CW290" s="141">
        <f t="shared" si="1340"/>
        <v>0.302353498040785</v>
      </c>
      <c r="CX290" s="141">
        <f t="shared" ref="CX290" si="1341">CX289/CS289-1</f>
        <v>0.333816581604437</v>
      </c>
      <c r="CY290" s="140">
        <f t="shared" ref="CY290:DF290" si="1342">CY289/CT289-1</f>
        <v>0.310783066030108</v>
      </c>
      <c r="CZ290" s="142">
        <f t="shared" si="1342"/>
        <v>0.180067088707565</v>
      </c>
      <c r="DA290" s="141">
        <f t="shared" si="1342"/>
        <v>0.194019479118283</v>
      </c>
      <c r="DB290" s="141">
        <f t="shared" si="1342"/>
        <v>0.201667353591367</v>
      </c>
      <c r="DC290" s="141">
        <f t="shared" si="1342"/>
        <v>0.0975705828172717</v>
      </c>
      <c r="DD290" s="140">
        <f t="shared" si="1342"/>
        <v>0.163728464133188</v>
      </c>
      <c r="DE290" s="142">
        <f t="shared" si="1342"/>
        <v>0.129247579227677</v>
      </c>
      <c r="DF290" s="141">
        <f t="shared" si="1342"/>
        <v>0.0425000765767145</v>
      </c>
      <c r="DG290" s="213">
        <v>0.15</v>
      </c>
      <c r="DH290" s="213">
        <v>0.15</v>
      </c>
      <c r="DI290" s="140">
        <f>DI289/DD289-1</f>
        <v>0.118512143556241</v>
      </c>
      <c r="DJ290" s="213">
        <v>0.12</v>
      </c>
      <c r="DK290" s="213">
        <v>0.12</v>
      </c>
      <c r="DL290" s="213">
        <v>0.12</v>
      </c>
      <c r="DM290" s="213">
        <v>0.12</v>
      </c>
      <c r="DN290" s="140">
        <f>DN289/DI289-1</f>
        <v>0.12</v>
      </c>
      <c r="DO290" s="213">
        <v>0.11</v>
      </c>
      <c r="DP290" s="213">
        <v>0.11</v>
      </c>
      <c r="DQ290" s="213">
        <v>0.11</v>
      </c>
      <c r="DR290" s="213">
        <v>0.11</v>
      </c>
      <c r="DS290" s="140">
        <f>DS289/DN289-1</f>
        <v>0.11</v>
      </c>
    </row>
    <row r="291" s="88" customFormat="1" hidden="1" outlineLevel="1" spans="2:123">
      <c r="B291" s="208" t="s">
        <v>401</v>
      </c>
      <c r="C291" s="124"/>
      <c r="D291" s="125"/>
      <c r="E291" s="125"/>
      <c r="F291" s="125"/>
      <c r="G291" s="125"/>
      <c r="H291" s="124"/>
      <c r="I291" s="125"/>
      <c r="J291" s="125"/>
      <c r="K291" s="125"/>
      <c r="L291" s="125"/>
      <c r="M291" s="124"/>
      <c r="N291" s="125"/>
      <c r="O291" s="125"/>
      <c r="P291" s="125"/>
      <c r="Q291" s="125"/>
      <c r="R291" s="124"/>
      <c r="S291" s="125">
        <v>1.250679904</v>
      </c>
      <c r="T291" s="125">
        <v>0</v>
      </c>
      <c r="U291" s="125">
        <v>0</v>
      </c>
      <c r="V291" s="125">
        <v>0</v>
      </c>
      <c r="W291" s="124">
        <f>SUM(S291:V291)</f>
        <v>1.250679904</v>
      </c>
      <c r="X291" s="125">
        <v>0</v>
      </c>
      <c r="Y291" s="125">
        <v>0</v>
      </c>
      <c r="Z291" s="125">
        <v>0</v>
      </c>
      <c r="AA291" s="125">
        <v>0</v>
      </c>
      <c r="AB291" s="124">
        <f>SUM(X291:AA291)</f>
        <v>0</v>
      </c>
      <c r="AC291" s="125">
        <v>0</v>
      </c>
      <c r="AD291" s="125">
        <v>4.56624</v>
      </c>
      <c r="AE291" s="125">
        <v>5.274</v>
      </c>
      <c r="AF291" s="125">
        <v>4.4070175443787</v>
      </c>
      <c r="AG291" s="124">
        <f>SUM(AC291:AF291)</f>
        <v>14.2472575443787</v>
      </c>
      <c r="AH291" s="125">
        <v>7.47119999999998</v>
      </c>
      <c r="AI291" s="125">
        <v>8.49292</v>
      </c>
      <c r="AJ291" s="125">
        <v>9.20864</v>
      </c>
      <c r="AK291" s="125">
        <v>14.8608</v>
      </c>
      <c r="AL291" s="124">
        <f>SUM(AH291:AK291)</f>
        <v>40.03356</v>
      </c>
      <c r="AM291" s="125">
        <v>14.2849</v>
      </c>
      <c r="AN291" s="125">
        <v>14.1317</v>
      </c>
      <c r="AO291" s="125">
        <v>15.82685</v>
      </c>
      <c r="AP291" s="125">
        <v>24.62055</v>
      </c>
      <c r="AQ291" s="124">
        <f>SUM(AM291:AP291)</f>
        <v>68.864</v>
      </c>
      <c r="AR291" s="125">
        <v>18.326446</v>
      </c>
      <c r="AS291" s="125">
        <v>18.259189</v>
      </c>
      <c r="AT291" s="125">
        <v>20.1347</v>
      </c>
      <c r="AU291" s="125">
        <v>27.612629</v>
      </c>
      <c r="AV291" s="124">
        <f>SUM(AR291:AU291)</f>
        <v>84.3329639999999</v>
      </c>
      <c r="AW291" s="125">
        <v>23.07708</v>
      </c>
      <c r="AX291" s="125">
        <v>27.35</v>
      </c>
      <c r="AY291" s="125">
        <v>25.16376</v>
      </c>
      <c r="AZ291" s="125">
        <v>29.85</v>
      </c>
      <c r="BA291" s="124">
        <f>SUM(AW291:AZ291)</f>
        <v>105.44084</v>
      </c>
      <c r="BB291" s="125"/>
      <c r="BC291" s="125"/>
      <c r="BD291" s="125"/>
      <c r="BE291" s="125"/>
      <c r="BF291" s="124">
        <v>135.162</v>
      </c>
      <c r="BG291" s="125"/>
      <c r="BH291" s="125"/>
      <c r="BI291" s="125"/>
      <c r="BJ291" s="125"/>
      <c r="BK291" s="124">
        <v>171.149</v>
      </c>
      <c r="BL291" s="125">
        <v>49.194</v>
      </c>
      <c r="BM291" s="125">
        <v>58.974</v>
      </c>
      <c r="BN291" s="125">
        <v>59.945</v>
      </c>
      <c r="BO291" s="125">
        <f>BP291-SUM(BL291:BN291)</f>
        <v>77.526</v>
      </c>
      <c r="BP291" s="124">
        <v>245.639</v>
      </c>
      <c r="BQ291" s="125">
        <v>75.287</v>
      </c>
      <c r="BR291" s="125">
        <v>86.809</v>
      </c>
      <c r="BS291" s="125">
        <v>82.333</v>
      </c>
      <c r="BT291" s="125">
        <f>BU291-SUM(BQ291:BS291)</f>
        <v>115.411</v>
      </c>
      <c r="BU291" s="124">
        <v>359.84</v>
      </c>
      <c r="BV291" s="125">
        <v>105.023</v>
      </c>
      <c r="BW291" s="125">
        <v>115.904</v>
      </c>
      <c r="BX291" s="125">
        <v>110.986</v>
      </c>
      <c r="BY291" s="125">
        <f>BZ291-SUM(BV291:BX291)</f>
        <v>143.905</v>
      </c>
      <c r="BZ291" s="124">
        <v>475.818</v>
      </c>
      <c r="CA291" s="125">
        <v>93.113</v>
      </c>
      <c r="CB291" s="125">
        <v>159.366</v>
      </c>
      <c r="CC291" s="125">
        <v>160.474</v>
      </c>
      <c r="CD291" s="125">
        <f>CE291-SUM(CA291:CC291)</f>
        <v>211.186</v>
      </c>
      <c r="CE291" s="124">
        <v>624.139</v>
      </c>
      <c r="CF291" s="125">
        <v>209.122</v>
      </c>
      <c r="CG291" s="125">
        <v>237.824</v>
      </c>
      <c r="CH291" s="125">
        <v>224.122</v>
      </c>
      <c r="CI291" s="125">
        <f>CJ291-SUM(CF291:CH291)</f>
        <v>285.643</v>
      </c>
      <c r="CJ291" s="124">
        <v>956.711</v>
      </c>
      <c r="CK291" s="125">
        <v>270.19</v>
      </c>
      <c r="CL291" s="125">
        <v>321.345</v>
      </c>
      <c r="CM291" s="172">
        <v>316.554</v>
      </c>
      <c r="CN291" s="125">
        <f>CO291-CM291-CL291-CK291</f>
        <v>384.975</v>
      </c>
      <c r="CO291" s="127">
        <f>681.633+611.431</f>
        <v>1293.064</v>
      </c>
      <c r="CP291" s="128">
        <f>CP231+CP289</f>
        <v>433.054</v>
      </c>
      <c r="CQ291" s="128">
        <f>CQ231+CQ289</f>
        <v>489.392</v>
      </c>
      <c r="CR291" s="128">
        <f>CR231+CR289</f>
        <v>471.82</v>
      </c>
      <c r="CS291" s="126">
        <f>CT291-SUM(CP291:CR291)</f>
        <v>593.365</v>
      </c>
      <c r="CT291" s="127">
        <f>1134.293+853.338</f>
        <v>1987.631</v>
      </c>
      <c r="CU291" s="126">
        <f>CU231+CU289</f>
        <v>586.627</v>
      </c>
      <c r="CV291" s="126">
        <f>CV231+CV289</f>
        <v>629.645</v>
      </c>
      <c r="CW291" s="128">
        <f>CW231+CW289</f>
        <v>626.278</v>
      </c>
      <c r="CX291" s="126">
        <f>CY291-SUM(CU291:CW291)</f>
        <v>817.42</v>
      </c>
      <c r="CY291" s="127">
        <f>1541.429+1118.541</f>
        <v>2659.97</v>
      </c>
      <c r="CZ291" s="126">
        <f>CZ231+CZ289</f>
        <v>696.102</v>
      </c>
      <c r="DA291" s="126">
        <f>DA231+DA289</f>
        <v>767.002</v>
      </c>
      <c r="DB291" s="126">
        <f>DB231+DB289</f>
        <v>832.538</v>
      </c>
      <c r="DC291" s="126">
        <f>DC231+DC289</f>
        <v>959.914</v>
      </c>
      <c r="DD291" s="127">
        <f>1301.678+1953.878</f>
        <v>3255.556</v>
      </c>
      <c r="DE291" s="126">
        <f>DE231+DE289</f>
        <v>850.393</v>
      </c>
      <c r="DF291" s="126">
        <f>DF231+DF289</f>
        <v>855.76744</v>
      </c>
      <c r="DG291" s="126">
        <f>DG231+DG289</f>
        <v>972.77345</v>
      </c>
      <c r="DH291" s="126">
        <f>DH231+DH289</f>
        <v>1109.79426</v>
      </c>
      <c r="DI291" s="127">
        <f>DE291+DF291+DG291+DH291</f>
        <v>3788.72815</v>
      </c>
      <c r="DJ291" s="126">
        <f>DJ231+DJ289</f>
        <v>957.73819</v>
      </c>
      <c r="DK291" s="126">
        <f>DK231+DK289</f>
        <v>953.3053084</v>
      </c>
      <c r="DL291" s="126">
        <f>DL231+DL289</f>
        <v>1077.427194</v>
      </c>
      <c r="DM291" s="126">
        <f>DM231+DM289</f>
        <v>1229.29744</v>
      </c>
      <c r="DN291" s="127">
        <f>DJ291+DK291+DL291+DM291</f>
        <v>4217.7681324</v>
      </c>
      <c r="DO291" s="126">
        <f>DO231+DO289</f>
        <v>1057.102617</v>
      </c>
      <c r="DP291" s="126">
        <f>DP231+DP289</f>
        <v>1052.44770324</v>
      </c>
      <c r="DQ291" s="126">
        <f>DQ231+DQ289</f>
        <v>1189.30069684</v>
      </c>
      <c r="DR291" s="126">
        <f>DR231+DR289</f>
        <v>1357.00048624</v>
      </c>
      <c r="DS291" s="127">
        <f>DO291+DP291+DQ291+DR291</f>
        <v>4655.85150332</v>
      </c>
    </row>
    <row r="292" hidden="1" outlineLevel="1" spans="2:123">
      <c r="B292" s="38" t="s">
        <v>69</v>
      </c>
      <c r="C292" s="119"/>
      <c r="D292" s="120"/>
      <c r="E292" s="120"/>
      <c r="F292" s="120"/>
      <c r="G292" s="120"/>
      <c r="H292" s="140"/>
      <c r="I292" s="141"/>
      <c r="J292" s="141"/>
      <c r="K292" s="141"/>
      <c r="L292" s="141"/>
      <c r="M292" s="140"/>
      <c r="N292" s="141"/>
      <c r="O292" s="141"/>
      <c r="P292" s="141"/>
      <c r="Q292" s="141"/>
      <c r="R292" s="140"/>
      <c r="S292" s="141"/>
      <c r="T292" s="141"/>
      <c r="U292" s="141"/>
      <c r="V292" s="141"/>
      <c r="W292" s="140"/>
      <c r="X292" s="141"/>
      <c r="Y292" s="141"/>
      <c r="Z292" s="141"/>
      <c r="AA292" s="141"/>
      <c r="AB292" s="140"/>
      <c r="AC292" s="141"/>
      <c r="AD292" s="141"/>
      <c r="AE292" s="141"/>
      <c r="AF292" s="141"/>
      <c r="AG292" s="140"/>
      <c r="AH292" s="141"/>
      <c r="AI292" s="141">
        <f t="shared" ref="AI292:BA292" si="1343">AI291/AD291-1</f>
        <v>0.859937278811451</v>
      </c>
      <c r="AJ292" s="141">
        <f t="shared" si="1343"/>
        <v>0.746044747819492</v>
      </c>
      <c r="AK292" s="141">
        <f t="shared" si="1343"/>
        <v>2.37207643272386</v>
      </c>
      <c r="AL292" s="140">
        <f t="shared" si="1343"/>
        <v>1.80991340791725</v>
      </c>
      <c r="AM292" s="141">
        <f t="shared" si="1343"/>
        <v>0.911995395652643</v>
      </c>
      <c r="AN292" s="141">
        <f t="shared" si="1343"/>
        <v>0.663938904405084</v>
      </c>
      <c r="AO292" s="141">
        <f t="shared" si="1343"/>
        <v>0.718695703165726</v>
      </c>
      <c r="AP292" s="141">
        <f t="shared" si="1343"/>
        <v>0.65674458979328</v>
      </c>
      <c r="AQ292" s="140">
        <f t="shared" si="1343"/>
        <v>0.720156788454488</v>
      </c>
      <c r="AR292" s="141">
        <f t="shared" si="1343"/>
        <v>0.28292434668776</v>
      </c>
      <c r="AS292" s="141">
        <f t="shared" si="1343"/>
        <v>0.292073069765135</v>
      </c>
      <c r="AT292" s="141">
        <f t="shared" si="1343"/>
        <v>0.272186189924079</v>
      </c>
      <c r="AU292" s="141">
        <f t="shared" si="1343"/>
        <v>0.121527707545123</v>
      </c>
      <c r="AV292" s="140">
        <f t="shared" si="1343"/>
        <v>0.224630634293679</v>
      </c>
      <c r="AW292" s="141">
        <f t="shared" si="1343"/>
        <v>0.259222873873093</v>
      </c>
      <c r="AX292" s="141">
        <f t="shared" si="1343"/>
        <v>0.497875946187972</v>
      </c>
      <c r="AY292" s="141">
        <f t="shared" si="1343"/>
        <v>0.249770793704402</v>
      </c>
      <c r="AZ292" s="141">
        <f t="shared" si="1343"/>
        <v>0.0810270909010502</v>
      </c>
      <c r="BA292" s="140">
        <f t="shared" si="1343"/>
        <v>0.250292115903813</v>
      </c>
      <c r="BB292" s="141"/>
      <c r="BC292" s="141"/>
      <c r="BD292" s="141"/>
      <c r="BE292" s="141"/>
      <c r="BF292" s="140">
        <f>BF291/BA291-1</f>
        <v>0.281875220265696</v>
      </c>
      <c r="BG292" s="141"/>
      <c r="BH292" s="141"/>
      <c r="BI292" s="141"/>
      <c r="BJ292" s="141"/>
      <c r="BK292" s="140">
        <f>BK291/BF291-1</f>
        <v>0.266250869327178</v>
      </c>
      <c r="BL292" s="141"/>
      <c r="BM292" s="141"/>
      <c r="BN292" s="141"/>
      <c r="BO292" s="141"/>
      <c r="BP292" s="140">
        <f t="shared" ref="BP292:CS292" si="1344">BP291/BK291-1</f>
        <v>0.435234795412185</v>
      </c>
      <c r="BQ292" s="291">
        <f t="shared" si="1344"/>
        <v>0.530410212627556</v>
      </c>
      <c r="BR292" s="291">
        <f t="shared" si="1344"/>
        <v>0.471987655577034</v>
      </c>
      <c r="BS292" s="291">
        <f t="shared" si="1344"/>
        <v>0.373475686045542</v>
      </c>
      <c r="BT292" s="291">
        <f t="shared" si="1344"/>
        <v>0.488674767174883</v>
      </c>
      <c r="BU292" s="140">
        <f t="shared" si="1344"/>
        <v>0.464913959102585</v>
      </c>
      <c r="BV292" s="291">
        <f t="shared" si="1344"/>
        <v>0.394968586874228</v>
      </c>
      <c r="BW292" s="291">
        <f t="shared" si="1344"/>
        <v>0.33516110080752</v>
      </c>
      <c r="BX292" s="291">
        <f t="shared" si="1344"/>
        <v>0.348013554710748</v>
      </c>
      <c r="BY292" s="291">
        <f t="shared" si="1344"/>
        <v>0.246891544133575</v>
      </c>
      <c r="BZ292" s="140">
        <f t="shared" si="1344"/>
        <v>0.322304357492219</v>
      </c>
      <c r="CA292" s="141">
        <f t="shared" si="1344"/>
        <v>-0.11340373061139</v>
      </c>
      <c r="CB292" s="141">
        <f t="shared" si="1344"/>
        <v>0.374982744340144</v>
      </c>
      <c r="CC292" s="141">
        <f t="shared" si="1344"/>
        <v>0.445894076730398</v>
      </c>
      <c r="CD292" s="141">
        <f t="shared" si="1344"/>
        <v>0.467537611618777</v>
      </c>
      <c r="CE292" s="140">
        <f t="shared" si="1344"/>
        <v>0.311717925761531</v>
      </c>
      <c r="CF292" s="141">
        <f t="shared" si="1344"/>
        <v>1.24589477301773</v>
      </c>
      <c r="CG292" s="141">
        <f t="shared" si="1344"/>
        <v>0.492313291417241</v>
      </c>
      <c r="CH292" s="141">
        <f t="shared" si="1344"/>
        <v>0.396624998442116</v>
      </c>
      <c r="CI292" s="141">
        <f t="shared" si="1344"/>
        <v>0.352565984487608</v>
      </c>
      <c r="CJ292" s="140">
        <f t="shared" si="1344"/>
        <v>0.532849253131113</v>
      </c>
      <c r="CK292" s="141">
        <f t="shared" si="1344"/>
        <v>0.292020925584109</v>
      </c>
      <c r="CL292" s="141">
        <f t="shared" si="1344"/>
        <v>0.351188273681378</v>
      </c>
      <c r="CM292" s="141">
        <f t="shared" si="1344"/>
        <v>0.412418236496194</v>
      </c>
      <c r="CN292" s="141">
        <f t="shared" si="1344"/>
        <v>0.347748763316448</v>
      </c>
      <c r="CO292" s="140">
        <f t="shared" si="1344"/>
        <v>0.351572209371482</v>
      </c>
      <c r="CP292" s="141">
        <f t="shared" si="1344"/>
        <v>0.602775824419853</v>
      </c>
      <c r="CQ292" s="141">
        <f t="shared" si="1344"/>
        <v>0.522948855591342</v>
      </c>
      <c r="CR292" s="141">
        <f t="shared" si="1344"/>
        <v>0.490488194747184</v>
      </c>
      <c r="CS292" s="141">
        <f t="shared" si="1344"/>
        <v>0.541307877134878</v>
      </c>
      <c r="CT292" s="140">
        <f t="shared" ref="CT292:DI292" si="1345">CT291/CO291-1</f>
        <v>0.537148199934419</v>
      </c>
      <c r="CU292" s="141">
        <f t="shared" si="1345"/>
        <v>0.354627829323826</v>
      </c>
      <c r="CV292" s="141">
        <f t="shared" si="1345"/>
        <v>0.286586213097067</v>
      </c>
      <c r="CW292" s="141">
        <f t="shared" si="1345"/>
        <v>0.327366368530372</v>
      </c>
      <c r="CX292" s="141">
        <f t="shared" si="1345"/>
        <v>0.377600633674047</v>
      </c>
      <c r="CY292" s="140">
        <f t="shared" si="1345"/>
        <v>0.33826147811138</v>
      </c>
      <c r="CZ292" s="141">
        <f t="shared" si="1345"/>
        <v>0.186617731539803</v>
      </c>
      <c r="DA292" s="141">
        <f t="shared" si="1345"/>
        <v>0.218149909869847</v>
      </c>
      <c r="DB292" s="141">
        <f t="shared" si="1345"/>
        <v>0.329342560332632</v>
      </c>
      <c r="DC292" s="141">
        <f t="shared" si="1345"/>
        <v>0.174321646154975</v>
      </c>
      <c r="DD292" s="140">
        <f t="shared" si="1345"/>
        <v>0.223907036545525</v>
      </c>
      <c r="DE292" s="141">
        <f t="shared" si="1345"/>
        <v>0.22164998807646</v>
      </c>
      <c r="DF292" s="141">
        <f t="shared" si="1345"/>
        <v>0.115730389229754</v>
      </c>
      <c r="DG292" s="141">
        <f t="shared" si="1345"/>
        <v>0.168443302287703</v>
      </c>
      <c r="DH292" s="141">
        <f t="shared" si="1345"/>
        <v>0.156139258308557</v>
      </c>
      <c r="DI292" s="140">
        <f t="shared" si="1345"/>
        <v>0.163772993000274</v>
      </c>
      <c r="DJ292" s="141">
        <f t="shared" ref="DJ292" si="1346">DJ291/DE291-1</f>
        <v>0.126230095967394</v>
      </c>
      <c r="DK292" s="141">
        <f t="shared" ref="DK292" si="1347">DK291/DF291-1</f>
        <v>0.113977073490901</v>
      </c>
      <c r="DL292" s="141">
        <f t="shared" ref="DL292" si="1348">DL291/DG291-1</f>
        <v>0.107582853952275</v>
      </c>
      <c r="DM292" s="141">
        <f t="shared" ref="DM292" si="1349">DM291/DH291-1</f>
        <v>0.107680481245236</v>
      </c>
      <c r="DN292" s="140">
        <f t="shared" ref="DN292" si="1350">DN291/DI291-1</f>
        <v>0.113241163106411</v>
      </c>
      <c r="DO292" s="141">
        <f t="shared" ref="DO292" si="1351">DO291/DJ291-1</f>
        <v>0.103749049622841</v>
      </c>
      <c r="DP292" s="141">
        <f t="shared" ref="DP292" si="1352">DP291/DK291-1</f>
        <v>0.103998576286539</v>
      </c>
      <c r="DQ292" s="141">
        <f t="shared" ref="DQ292" si="1353">DQ291/DL291-1</f>
        <v>0.103833932782654</v>
      </c>
      <c r="DR292" s="141">
        <f t="shared" ref="DR292" si="1354">DR291/DM291-1</f>
        <v>0.103882951419796</v>
      </c>
      <c r="DS292" s="140">
        <f t="shared" ref="DS292" si="1355">DS291/DN291-1</f>
        <v>0.103866157922418</v>
      </c>
    </row>
    <row r="293" s="3" customFormat="1" hidden="1" outlineLevel="1" spans="2:123">
      <c r="B293" s="130"/>
      <c r="C293" s="284"/>
      <c r="D293" s="189"/>
      <c r="E293" s="189"/>
      <c r="F293" s="189"/>
      <c r="G293" s="189"/>
      <c r="H293" s="188"/>
      <c r="I293" s="189"/>
      <c r="J293" s="189"/>
      <c r="K293" s="189"/>
      <c r="L293" s="189"/>
      <c r="M293" s="188"/>
      <c r="N293" s="189"/>
      <c r="O293" s="189"/>
      <c r="P293" s="189"/>
      <c r="Q293" s="189"/>
      <c r="R293" s="188"/>
      <c r="S293" s="189"/>
      <c r="T293" s="189"/>
      <c r="U293" s="189"/>
      <c r="V293" s="189"/>
      <c r="W293" s="188"/>
      <c r="X293" s="189"/>
      <c r="Y293" s="189"/>
      <c r="Z293" s="195"/>
      <c r="AA293" s="195"/>
      <c r="AB293" s="188"/>
      <c r="AC293" s="195"/>
      <c r="AD293" s="195"/>
      <c r="AE293" s="195"/>
      <c r="AF293" s="195"/>
      <c r="AG293" s="194"/>
      <c r="AH293" s="195"/>
      <c r="AI293" s="195"/>
      <c r="AJ293" s="195"/>
      <c r="AK293" s="195"/>
      <c r="AL293" s="194"/>
      <c r="AM293" s="195"/>
      <c r="AN293" s="195"/>
      <c r="AO293" s="195"/>
      <c r="AP293" s="195"/>
      <c r="AQ293" s="194"/>
      <c r="AR293" s="195"/>
      <c r="AS293" s="195"/>
      <c r="AT293" s="195"/>
      <c r="AU293" s="195"/>
      <c r="AV293" s="194"/>
      <c r="AW293" s="195"/>
      <c r="AX293" s="195"/>
      <c r="AY293" s="195"/>
      <c r="AZ293" s="195"/>
      <c r="BA293" s="194"/>
      <c r="BB293" s="195"/>
      <c r="BC293" s="195"/>
      <c r="BD293" s="195"/>
      <c r="BE293" s="195"/>
      <c r="BF293" s="194"/>
      <c r="BG293" s="195"/>
      <c r="BH293" s="195"/>
      <c r="BI293" s="195"/>
      <c r="BJ293" s="195"/>
      <c r="BK293" s="194"/>
      <c r="BL293" s="195"/>
      <c r="BM293" s="195"/>
      <c r="BN293" s="195"/>
      <c r="BO293" s="195"/>
      <c r="BP293" s="194"/>
      <c r="BQ293" s="195"/>
      <c r="BR293" s="195"/>
      <c r="BS293" s="195"/>
      <c r="BT293" s="120"/>
      <c r="BU293" s="119"/>
      <c r="BV293" s="120"/>
      <c r="BW293" s="120"/>
      <c r="BX293" s="120"/>
      <c r="BY293" s="189"/>
      <c r="BZ293" s="188"/>
      <c r="CA293" s="189"/>
      <c r="CB293" s="189"/>
      <c r="CC293" s="189"/>
      <c r="CD293" s="189"/>
      <c r="CE293" s="188"/>
      <c r="CF293" s="189"/>
      <c r="CG293" s="189"/>
      <c r="CH293" s="189"/>
      <c r="CI293" s="189"/>
      <c r="CJ293" s="188"/>
      <c r="CK293" s="189"/>
      <c r="CL293" s="189"/>
      <c r="CM293" s="189"/>
      <c r="CN293" s="189"/>
      <c r="CO293" s="140"/>
      <c r="CP293" s="189"/>
      <c r="CQ293" s="189"/>
      <c r="CR293" s="189"/>
      <c r="CS293" s="189"/>
      <c r="CT293" s="140"/>
      <c r="CU293" s="189"/>
      <c r="CV293" s="189"/>
      <c r="CW293" s="189"/>
      <c r="CX293" s="335"/>
      <c r="CY293" s="188"/>
      <c r="CZ293" s="335"/>
      <c r="DA293" s="335"/>
      <c r="DB293" s="335"/>
      <c r="DC293" s="335"/>
      <c r="DD293" s="188"/>
      <c r="DE293" s="189"/>
      <c r="DF293" s="189"/>
      <c r="DG293" s="189"/>
      <c r="DH293" s="189"/>
      <c r="DI293" s="188"/>
      <c r="DJ293" s="189"/>
      <c r="DK293" s="189"/>
      <c r="DL293" s="189"/>
      <c r="DM293" s="189"/>
      <c r="DN293" s="188"/>
      <c r="DO293" s="189"/>
      <c r="DP293" s="189"/>
      <c r="DQ293" s="189"/>
      <c r="DR293" s="189"/>
      <c r="DS293" s="188"/>
    </row>
    <row r="294" s="89" customFormat="1" collapsed="1" spans="2:123">
      <c r="B294" s="175" t="s">
        <v>402</v>
      </c>
      <c r="C294" s="337"/>
      <c r="D294" s="132"/>
      <c r="E294" s="132"/>
      <c r="F294" s="132"/>
      <c r="G294" s="132"/>
      <c r="H294" s="131"/>
      <c r="I294" s="132"/>
      <c r="J294" s="132"/>
      <c r="K294" s="132"/>
      <c r="L294" s="132"/>
      <c r="M294" s="131"/>
      <c r="N294" s="132"/>
      <c r="O294" s="132"/>
      <c r="P294" s="132"/>
      <c r="Q294" s="132"/>
      <c r="R294" s="131"/>
      <c r="S294" s="132"/>
      <c r="T294" s="132"/>
      <c r="U294" s="132"/>
      <c r="V294" s="132"/>
      <c r="W294" s="131"/>
      <c r="X294" s="132"/>
      <c r="Y294" s="132"/>
      <c r="Z294" s="132"/>
      <c r="AA294" s="132"/>
      <c r="AB294" s="131"/>
      <c r="AC294" s="132"/>
      <c r="AD294" s="132"/>
      <c r="AE294" s="132"/>
      <c r="AF294" s="132"/>
      <c r="AG294" s="131"/>
      <c r="AH294" s="132"/>
      <c r="AI294" s="132"/>
      <c r="AJ294" s="132"/>
      <c r="AK294" s="132"/>
      <c r="AL294" s="131"/>
      <c r="AM294" s="132"/>
      <c r="AN294" s="132"/>
      <c r="AO294" s="132"/>
      <c r="AP294" s="132"/>
      <c r="AQ294" s="131"/>
      <c r="AR294" s="132"/>
      <c r="AS294" s="132"/>
      <c r="AT294" s="132"/>
      <c r="AU294" s="132"/>
      <c r="AV294" s="131"/>
      <c r="AW294" s="132"/>
      <c r="AX294" s="132"/>
      <c r="AY294" s="132"/>
      <c r="AZ294" s="132"/>
      <c r="BA294" s="131"/>
      <c r="BB294" s="132"/>
      <c r="BC294" s="132"/>
      <c r="BD294" s="132"/>
      <c r="BE294" s="132"/>
      <c r="BF294" s="131"/>
      <c r="BG294" s="132"/>
      <c r="BH294" s="132"/>
      <c r="BI294" s="132"/>
      <c r="BJ294" s="132"/>
      <c r="BK294" s="131"/>
      <c r="BL294" s="132"/>
      <c r="BM294" s="132"/>
      <c r="BN294" s="132"/>
      <c r="BO294" s="132"/>
      <c r="BP294" s="131"/>
      <c r="BQ294" s="132"/>
      <c r="BR294" s="132"/>
      <c r="BS294" s="132"/>
      <c r="BT294" s="125"/>
      <c r="BU294" s="124"/>
      <c r="BV294" s="125"/>
      <c r="BW294" s="125"/>
      <c r="BX294" s="125"/>
      <c r="BY294" s="132"/>
      <c r="BZ294" s="131"/>
      <c r="CA294" s="132"/>
      <c r="CB294" s="132"/>
      <c r="CC294" s="132"/>
      <c r="CD294" s="132"/>
      <c r="CE294" s="131">
        <f>CJ294/(1+0.363)</f>
        <v>383.308877476156</v>
      </c>
      <c r="CF294" s="774" t="s">
        <v>208</v>
      </c>
      <c r="CG294" s="774" t="s">
        <v>208</v>
      </c>
      <c r="CH294" s="774" t="s">
        <v>208</v>
      </c>
      <c r="CI294" s="774" t="s">
        <v>208</v>
      </c>
      <c r="CJ294" s="131">
        <v>522.45</v>
      </c>
      <c r="CK294" s="774" t="s">
        <v>208</v>
      </c>
      <c r="CL294" s="774" t="s">
        <v>208</v>
      </c>
      <c r="CM294" s="774" t="s">
        <v>208</v>
      </c>
      <c r="CN294" s="774" t="s">
        <v>208</v>
      </c>
      <c r="CO294" s="134">
        <v>716.561</v>
      </c>
      <c r="CP294" s="133">
        <v>222.986</v>
      </c>
      <c r="CQ294" s="133">
        <v>254.947</v>
      </c>
      <c r="CR294" s="133">
        <v>243.225</v>
      </c>
      <c r="CS294" s="133">
        <f>CT294-CP294-CQ294-CR294</f>
        <v>302.713</v>
      </c>
      <c r="CT294" s="134">
        <v>1023.871</v>
      </c>
      <c r="CU294" s="133">
        <v>282.841</v>
      </c>
      <c r="CV294" s="133">
        <v>315.456</v>
      </c>
      <c r="CW294" s="133">
        <v>307.94</v>
      </c>
      <c r="CX294" s="133">
        <f>CY294-CU294-CV294-CW294</f>
        <v>392.396</v>
      </c>
      <c r="CY294" s="134">
        <v>1298.633</v>
      </c>
      <c r="CZ294" s="133">
        <v>328.001</v>
      </c>
      <c r="DA294" s="133">
        <v>374.104</v>
      </c>
      <c r="DB294" s="133">
        <v>367.176</v>
      </c>
      <c r="DC294" s="133">
        <f>DD294-CZ294-DA294-DB294</f>
        <v>431.476</v>
      </c>
      <c r="DD294" s="134">
        <v>1500.757</v>
      </c>
      <c r="DE294" s="135">
        <v>371.998</v>
      </c>
      <c r="DF294" s="133">
        <v>391.764</v>
      </c>
      <c r="DG294" s="133">
        <f t="shared" ref="DG294:DH294" si="1356">DB294*(1+DG300)*(1+DG303)*(1+DG329*DG302)*(1+DG297)</f>
        <v>378.887648275862</v>
      </c>
      <c r="DH294" s="133">
        <f t="shared" si="1356"/>
        <v>439.551526123457</v>
      </c>
      <c r="DI294" s="134">
        <f>DE294+DF294+DG294+DH294</f>
        <v>1582.20117439932</v>
      </c>
      <c r="DJ294" s="133">
        <f t="shared" ref="DJ294:DM294" si="1357">DE294*(1+DJ300)*(1+DJ303)*(1+DJ329*DJ302)*(1+DJ297)</f>
        <v>382.81976</v>
      </c>
      <c r="DK294" s="133">
        <f t="shared" si="1357"/>
        <v>408.187682435821</v>
      </c>
      <c r="DL294" s="133">
        <f t="shared" si="1357"/>
        <v>404.332708382032</v>
      </c>
      <c r="DM294" s="133">
        <f t="shared" si="1357"/>
        <v>472.192105333942</v>
      </c>
      <c r="DN294" s="134">
        <f>DJ294+DK294+DL294+DM294</f>
        <v>1667.5322561518</v>
      </c>
      <c r="DO294" s="133">
        <f t="shared" ref="DO294" si="1358">DJ294*(1+DO300)*(1+DO303)*(1+DO329*DO302)*(1+DO297)</f>
        <v>420.97636812538</v>
      </c>
      <c r="DP294" s="133">
        <f t="shared" ref="DP294" si="1359">DK294*(1+DP300)*(1+DP303)*(1+DP329*DP302)*(1+DP297)</f>
        <v>448.778624996183</v>
      </c>
      <c r="DQ294" s="133">
        <f t="shared" ref="DQ294" si="1360">DL294*(1+DQ300)*(1+DQ303)*(1+DQ329*DQ302)*(1+DQ297)</f>
        <v>444.356999009458</v>
      </c>
      <c r="DR294" s="133">
        <f t="shared" ref="DR294" si="1361">DM294*(1+DR300)*(1+DR303)*(1+DR329*DR302)*(1+DR297)</f>
        <v>518.621661273106</v>
      </c>
      <c r="DS294" s="134">
        <f>DO294+DP294+DQ294+DR294</f>
        <v>1832.73365340413</v>
      </c>
    </row>
    <row r="295" s="3" customFormat="1" spans="2:123">
      <c r="B295" s="144" t="s">
        <v>370</v>
      </c>
      <c r="C295" s="284"/>
      <c r="D295" s="189"/>
      <c r="E295" s="189"/>
      <c r="F295" s="189"/>
      <c r="G295" s="189"/>
      <c r="H295" s="188"/>
      <c r="I295" s="189"/>
      <c r="J295" s="189"/>
      <c r="K295" s="189"/>
      <c r="L295" s="189"/>
      <c r="M295" s="188"/>
      <c r="N295" s="189"/>
      <c r="O295" s="189"/>
      <c r="P295" s="189"/>
      <c r="Q295" s="189"/>
      <c r="R295" s="188"/>
      <c r="S295" s="189"/>
      <c r="T295" s="189"/>
      <c r="U295" s="189"/>
      <c r="V295" s="189"/>
      <c r="W295" s="188"/>
      <c r="X295" s="189"/>
      <c r="Y295" s="189"/>
      <c r="Z295" s="195"/>
      <c r="AA295" s="195"/>
      <c r="AB295" s="188"/>
      <c r="AC295" s="195"/>
      <c r="AD295" s="195"/>
      <c r="AE295" s="195"/>
      <c r="AF295" s="195"/>
      <c r="AG295" s="194"/>
      <c r="AH295" s="195"/>
      <c r="AI295" s="195"/>
      <c r="AJ295" s="195"/>
      <c r="AK295" s="195"/>
      <c r="AL295" s="194"/>
      <c r="AM295" s="195"/>
      <c r="AN295" s="195"/>
      <c r="AO295" s="195"/>
      <c r="AP295" s="195"/>
      <c r="AQ295" s="194"/>
      <c r="AR295" s="195"/>
      <c r="AS295" s="195"/>
      <c r="AT295" s="195"/>
      <c r="AU295" s="195"/>
      <c r="AV295" s="194"/>
      <c r="AW295" s="195"/>
      <c r="AX295" s="195"/>
      <c r="AY295" s="195"/>
      <c r="AZ295" s="195"/>
      <c r="BA295" s="194"/>
      <c r="BB295" s="195"/>
      <c r="BC295" s="195"/>
      <c r="BD295" s="195"/>
      <c r="BE295" s="195"/>
      <c r="BF295" s="194"/>
      <c r="BG295" s="195"/>
      <c r="BH295" s="195"/>
      <c r="BI295" s="195"/>
      <c r="BJ295" s="195"/>
      <c r="BK295" s="194"/>
      <c r="BL295" s="195"/>
      <c r="BM295" s="195"/>
      <c r="BN295" s="195"/>
      <c r="BO295" s="195"/>
      <c r="BP295" s="194"/>
      <c r="BQ295" s="195"/>
      <c r="BR295" s="195"/>
      <c r="BS295" s="195"/>
      <c r="BT295" s="120"/>
      <c r="BU295" s="119"/>
      <c r="BV295" s="120"/>
      <c r="BW295" s="120"/>
      <c r="BX295" s="120"/>
      <c r="BY295" s="189"/>
      <c r="BZ295" s="188"/>
      <c r="CA295" s="189"/>
      <c r="CB295" s="189"/>
      <c r="CC295" s="189"/>
      <c r="CD295" s="189"/>
      <c r="CE295" s="759" t="s">
        <v>208</v>
      </c>
      <c r="CF295" s="775" t="s">
        <v>208</v>
      </c>
      <c r="CG295" s="775" t="s">
        <v>208</v>
      </c>
      <c r="CH295" s="775" t="s">
        <v>208</v>
      </c>
      <c r="CI295" s="775" t="s">
        <v>208</v>
      </c>
      <c r="CJ295" s="140">
        <f>CJ294/CE294-1</f>
        <v>0.363</v>
      </c>
      <c r="CK295" s="775" t="s">
        <v>208</v>
      </c>
      <c r="CL295" s="775" t="s">
        <v>208</v>
      </c>
      <c r="CM295" s="775" t="s">
        <v>208</v>
      </c>
      <c r="CN295" s="775" t="s">
        <v>208</v>
      </c>
      <c r="CO295" s="140">
        <f>CO294/CJ294-1</f>
        <v>0.37153986027371</v>
      </c>
      <c r="CP295" s="772" t="s">
        <v>208</v>
      </c>
      <c r="CQ295" s="772" t="s">
        <v>208</v>
      </c>
      <c r="CR295" s="772" t="s">
        <v>208</v>
      </c>
      <c r="CS295" s="772" t="s">
        <v>208</v>
      </c>
      <c r="CT295" s="140">
        <f t="shared" ref="CT295:DI295" si="1362">CT294/CO294-1</f>
        <v>0.428867884241537</v>
      </c>
      <c r="CU295" s="141">
        <f t="shared" si="1362"/>
        <v>0.268424923537801</v>
      </c>
      <c r="CV295" s="141">
        <f t="shared" si="1362"/>
        <v>0.23733952547</v>
      </c>
      <c r="CW295" s="141">
        <f t="shared" si="1362"/>
        <v>0.266070510843869</v>
      </c>
      <c r="CX295" s="141">
        <f t="shared" si="1362"/>
        <v>0.296264118158124</v>
      </c>
      <c r="CY295" s="140">
        <f t="shared" si="1362"/>
        <v>0.268356072200502</v>
      </c>
      <c r="CZ295" s="141">
        <f t="shared" si="1362"/>
        <v>0.159665677889698</v>
      </c>
      <c r="DA295" s="141">
        <f t="shared" si="1362"/>
        <v>0.185914992899168</v>
      </c>
      <c r="DB295" s="141">
        <f t="shared" si="1362"/>
        <v>0.192362148470481</v>
      </c>
      <c r="DC295" s="141">
        <f t="shared" si="1362"/>
        <v>0.0995932680251583</v>
      </c>
      <c r="DD295" s="140">
        <f t="shared" si="1362"/>
        <v>0.155643665300358</v>
      </c>
      <c r="DE295" s="142">
        <f t="shared" si="1362"/>
        <v>0.134136786168335</v>
      </c>
      <c r="DF295" s="141">
        <f t="shared" si="1362"/>
        <v>0.0472061245001392</v>
      </c>
      <c r="DG295" s="141">
        <f t="shared" si="1362"/>
        <v>0.0318965517241381</v>
      </c>
      <c r="DH295" s="141">
        <f t="shared" si="1362"/>
        <v>0.0187160493827159</v>
      </c>
      <c r="DI295" s="140">
        <f t="shared" si="1362"/>
        <v>0.0542687286478216</v>
      </c>
      <c r="DJ295" s="141">
        <f t="shared" ref="DJ295" si="1363">DJ294/DE294-1</f>
        <v>0.0290909090909091</v>
      </c>
      <c r="DK295" s="141">
        <f t="shared" ref="DK295" si="1364">DK294/DF294-1</f>
        <v>0.0419223880597015</v>
      </c>
      <c r="DL295" s="141">
        <f t="shared" ref="DL295" si="1365">DL294/DG294-1</f>
        <v>0.0671572700296736</v>
      </c>
      <c r="DM295" s="141">
        <f t="shared" ref="DM295" si="1366">DM294/DH294-1</f>
        <v>0.0742588235294119</v>
      </c>
      <c r="DN295" s="140">
        <f t="shared" ref="DN295" si="1367">DN294/DI294-1</f>
        <v>0.0539318786594076</v>
      </c>
      <c r="DO295" s="141">
        <f t="shared" ref="DO295" si="1368">DO294/DJ294-1</f>
        <v>0.0996725146198831</v>
      </c>
      <c r="DP295" s="141">
        <f t="shared" ref="DP295" si="1369">DP294/DK294-1</f>
        <v>0.0994418604651164</v>
      </c>
      <c r="DQ295" s="141">
        <f t="shared" ref="DQ295" si="1370">DQ294/DL294-1</f>
        <v>0.0989885057471265</v>
      </c>
      <c r="DR295" s="141">
        <f t="shared" ref="DR295" si="1371">DR294/DM294-1</f>
        <v>0.0983276836158193</v>
      </c>
      <c r="DS295" s="140">
        <f t="shared" ref="DS295" si="1372">DS294/DN294-1</f>
        <v>0.0990693862999514</v>
      </c>
    </row>
    <row r="296" s="3" customFormat="1" spans="2:123">
      <c r="B296" s="144" t="s">
        <v>371</v>
      </c>
      <c r="C296" s="284"/>
      <c r="D296" s="189"/>
      <c r="E296" s="189"/>
      <c r="F296" s="189"/>
      <c r="G296" s="189"/>
      <c r="H296" s="188"/>
      <c r="I296" s="189"/>
      <c r="J296" s="189"/>
      <c r="K296" s="189"/>
      <c r="L296" s="189"/>
      <c r="M296" s="188"/>
      <c r="N296" s="189"/>
      <c r="O296" s="189"/>
      <c r="P296" s="189"/>
      <c r="Q296" s="189"/>
      <c r="R296" s="188"/>
      <c r="S296" s="189"/>
      <c r="T296" s="189"/>
      <c r="U296" s="189"/>
      <c r="V296" s="189"/>
      <c r="W296" s="188"/>
      <c r="X296" s="189"/>
      <c r="Y296" s="189"/>
      <c r="Z296" s="195"/>
      <c r="AA296" s="195"/>
      <c r="AB296" s="188"/>
      <c r="AC296" s="195"/>
      <c r="AD296" s="195"/>
      <c r="AE296" s="195"/>
      <c r="AF296" s="195"/>
      <c r="AG296" s="194"/>
      <c r="AH296" s="195"/>
      <c r="AI296" s="195"/>
      <c r="AJ296" s="195"/>
      <c r="AK296" s="195"/>
      <c r="AL296" s="194"/>
      <c r="AM296" s="195"/>
      <c r="AN296" s="195"/>
      <c r="AO296" s="195"/>
      <c r="AP296" s="195"/>
      <c r="AQ296" s="194"/>
      <c r="AR296" s="195"/>
      <c r="AS296" s="195"/>
      <c r="AT296" s="195"/>
      <c r="AU296" s="195"/>
      <c r="AV296" s="194"/>
      <c r="AW296" s="195"/>
      <c r="AX296" s="195"/>
      <c r="AY296" s="195"/>
      <c r="AZ296" s="195"/>
      <c r="BA296" s="194"/>
      <c r="BB296" s="195"/>
      <c r="BC296" s="195"/>
      <c r="BD296" s="195"/>
      <c r="BE296" s="195"/>
      <c r="BF296" s="194"/>
      <c r="BG296" s="195"/>
      <c r="BH296" s="195"/>
      <c r="BI296" s="195"/>
      <c r="BJ296" s="195"/>
      <c r="BK296" s="194"/>
      <c r="BL296" s="195"/>
      <c r="BM296" s="195"/>
      <c r="BN296" s="195"/>
      <c r="BO296" s="195"/>
      <c r="BP296" s="194"/>
      <c r="BQ296" s="195"/>
      <c r="BR296" s="195"/>
      <c r="BS296" s="195"/>
      <c r="BT296" s="120"/>
      <c r="BU296" s="119"/>
      <c r="BV296" s="120"/>
      <c r="BW296" s="120"/>
      <c r="BX296" s="120"/>
      <c r="BY296" s="189"/>
      <c r="BZ296" s="188"/>
      <c r="CA296" s="189"/>
      <c r="CB296" s="189"/>
      <c r="CC296" s="189"/>
      <c r="CD296" s="189"/>
      <c r="CE296" s="759" t="s">
        <v>208</v>
      </c>
      <c r="CF296" s="775" t="s">
        <v>208</v>
      </c>
      <c r="CG296" s="775" t="s">
        <v>208</v>
      </c>
      <c r="CH296" s="775" t="s">
        <v>208</v>
      </c>
      <c r="CI296" s="775" t="s">
        <v>208</v>
      </c>
      <c r="CJ296" s="759" t="s">
        <v>208</v>
      </c>
      <c r="CK296" s="775" t="s">
        <v>208</v>
      </c>
      <c r="CL296" s="775" t="s">
        <v>208</v>
      </c>
      <c r="CM296" s="775" t="s">
        <v>208</v>
      </c>
      <c r="CN296" s="775" t="s">
        <v>208</v>
      </c>
      <c r="CO296" s="298">
        <v>0.49</v>
      </c>
      <c r="CP296" s="772" t="s">
        <v>208</v>
      </c>
      <c r="CQ296" s="772" t="s">
        <v>208</v>
      </c>
      <c r="CR296" s="772" t="s">
        <v>208</v>
      </c>
      <c r="CS296" s="772" t="s">
        <v>208</v>
      </c>
      <c r="CT296" s="298">
        <v>0.44</v>
      </c>
      <c r="CU296" s="141">
        <v>0.3</v>
      </c>
      <c r="CV296" s="141">
        <v>0.27</v>
      </c>
      <c r="CW296" s="141">
        <v>0.23</v>
      </c>
      <c r="CX296" s="363">
        <v>0.33</v>
      </c>
      <c r="CY296" s="140">
        <v>0.29</v>
      </c>
      <c r="CZ296" s="141">
        <v>0.17</v>
      </c>
      <c r="DA296" s="141">
        <v>0.15</v>
      </c>
      <c r="DB296" s="141">
        <v>0.19</v>
      </c>
      <c r="DC296" s="141">
        <v>0.06</v>
      </c>
      <c r="DD296" s="140">
        <v>0.14</v>
      </c>
      <c r="DE296" s="142">
        <v>0.09</v>
      </c>
      <c r="DF296" s="141">
        <v>0.06</v>
      </c>
      <c r="DG296" s="141">
        <f t="shared" ref="DG296" si="1373">DG295-DG297</f>
        <v>0.0318965517241381</v>
      </c>
      <c r="DH296" s="141">
        <f t="shared" ref="DH296" si="1374">DH295-DH297</f>
        <v>0.0187160493827159</v>
      </c>
      <c r="DI296" s="140">
        <f>SUMPRODUCT(DE296:DH296,CZ294:DC294)/DD294</f>
        <v>0.0478115407086682</v>
      </c>
      <c r="DJ296" s="141">
        <f t="shared" ref="DJ296" si="1375">DJ295-DJ297</f>
        <v>0.0290909090909091</v>
      </c>
      <c r="DK296" s="141">
        <f t="shared" ref="DK296" si="1376">DK295-DK297</f>
        <v>0.0419223880597015</v>
      </c>
      <c r="DL296" s="141">
        <f t="shared" ref="DL296" si="1377">DL295-DL297</f>
        <v>0.0671572700296736</v>
      </c>
      <c r="DM296" s="141">
        <f t="shared" ref="DM296" si="1378">DM295-DM297</f>
        <v>0.0742588235294119</v>
      </c>
      <c r="DN296" s="140">
        <f>SUMPRODUCT(DJ296:DM296,DE294:DH294)/DI294</f>
        <v>0.0539318786594077</v>
      </c>
      <c r="DO296" s="141">
        <f t="shared" ref="DO296:DR296" si="1379">DO295-DO297</f>
        <v>0.0996725146198831</v>
      </c>
      <c r="DP296" s="141">
        <f t="shared" si="1379"/>
        <v>0.0994418604651164</v>
      </c>
      <c r="DQ296" s="141">
        <f t="shared" si="1379"/>
        <v>0.0989885057471265</v>
      </c>
      <c r="DR296" s="141">
        <f t="shared" si="1379"/>
        <v>0.0983276836158193</v>
      </c>
      <c r="DS296" s="140">
        <f>SUMPRODUCT(DO296:DR296,DJ294:DM294)/DN294</f>
        <v>0.0990693862999514</v>
      </c>
    </row>
    <row r="297" s="3" customFormat="1" spans="2:123">
      <c r="B297" s="144" t="s">
        <v>372</v>
      </c>
      <c r="C297" s="284"/>
      <c r="D297" s="189"/>
      <c r="E297" s="189"/>
      <c r="F297" s="189"/>
      <c r="G297" s="189"/>
      <c r="H297" s="188"/>
      <c r="I297" s="189"/>
      <c r="J297" s="189"/>
      <c r="K297" s="189"/>
      <c r="L297" s="189"/>
      <c r="M297" s="188"/>
      <c r="N297" s="189"/>
      <c r="O297" s="189"/>
      <c r="P297" s="189"/>
      <c r="Q297" s="189"/>
      <c r="R297" s="188"/>
      <c r="S297" s="189"/>
      <c r="T297" s="189"/>
      <c r="U297" s="189"/>
      <c r="V297" s="189"/>
      <c r="W297" s="188"/>
      <c r="X297" s="189"/>
      <c r="Y297" s="189"/>
      <c r="Z297" s="195"/>
      <c r="AA297" s="195"/>
      <c r="AB297" s="188"/>
      <c r="AC297" s="195"/>
      <c r="AD297" s="195"/>
      <c r="AE297" s="195"/>
      <c r="AF297" s="195"/>
      <c r="AG297" s="194"/>
      <c r="AH297" s="195"/>
      <c r="AI297" s="195"/>
      <c r="AJ297" s="195"/>
      <c r="AK297" s="195"/>
      <c r="AL297" s="194"/>
      <c r="AM297" s="195"/>
      <c r="AN297" s="195"/>
      <c r="AO297" s="195"/>
      <c r="AP297" s="195"/>
      <c r="AQ297" s="194"/>
      <c r="AR297" s="195"/>
      <c r="AS297" s="195"/>
      <c r="AT297" s="195"/>
      <c r="AU297" s="195"/>
      <c r="AV297" s="194"/>
      <c r="AW297" s="195"/>
      <c r="AX297" s="195"/>
      <c r="AY297" s="195"/>
      <c r="AZ297" s="195"/>
      <c r="BA297" s="194"/>
      <c r="BB297" s="195"/>
      <c r="BC297" s="195"/>
      <c r="BD297" s="195"/>
      <c r="BE297" s="195"/>
      <c r="BF297" s="194"/>
      <c r="BG297" s="195"/>
      <c r="BH297" s="195"/>
      <c r="BI297" s="195"/>
      <c r="BJ297" s="195"/>
      <c r="BK297" s="194"/>
      <c r="BL297" s="195"/>
      <c r="BM297" s="195"/>
      <c r="BN297" s="195"/>
      <c r="BO297" s="195"/>
      <c r="BP297" s="194"/>
      <c r="BQ297" s="195"/>
      <c r="BR297" s="195"/>
      <c r="BS297" s="195"/>
      <c r="BT297" s="120"/>
      <c r="BU297" s="119"/>
      <c r="BV297" s="120"/>
      <c r="BW297" s="120"/>
      <c r="BX297" s="120"/>
      <c r="BY297" s="189"/>
      <c r="BZ297" s="188"/>
      <c r="CA297" s="189"/>
      <c r="CB297" s="189"/>
      <c r="CC297" s="189"/>
      <c r="CD297" s="189"/>
      <c r="CE297" s="188"/>
      <c r="CF297" s="189"/>
      <c r="CG297" s="189"/>
      <c r="CH297" s="189"/>
      <c r="CI297" s="189"/>
      <c r="CJ297" s="188"/>
      <c r="CK297" s="189"/>
      <c r="CL297" s="189"/>
      <c r="CM297" s="189"/>
      <c r="CN297" s="189"/>
      <c r="CO297" s="298">
        <f>(1+CO295)/(1+CO296)-1</f>
        <v>-0.0795034494807313</v>
      </c>
      <c r="CP297" s="239"/>
      <c r="CQ297" s="239"/>
      <c r="CR297" s="239"/>
      <c r="CS297" s="239"/>
      <c r="CT297" s="298">
        <f t="shared" ref="CT297" si="1380">(1+CT295)/(1+CT296)-1</f>
        <v>-0.00773063594337708</v>
      </c>
      <c r="CU297" s="141">
        <f t="shared" ref="CU297" si="1381">(1+CU295)/(1+CU296)-1</f>
        <v>-0.024288520355538</v>
      </c>
      <c r="CV297" s="141">
        <f t="shared" ref="CV297" si="1382">(1+CV295)/(1+CV296)-1</f>
        <v>-0.0257169090787404</v>
      </c>
      <c r="CW297" s="141">
        <f t="shared" ref="CW297" si="1383">(1+CW295)/(1+CW296)-1</f>
        <v>0.029325618572251</v>
      </c>
      <c r="CX297" s="141">
        <f t="shared" ref="CX297" si="1384">(1+CX295)/(1+CX296)-1</f>
        <v>-0.0253653246931402</v>
      </c>
      <c r="CY297" s="140">
        <f t="shared" ref="CY297" si="1385">(1+CY295)/(1+CY296)-1</f>
        <v>-0.0167782386042622</v>
      </c>
      <c r="CZ297" s="141">
        <f t="shared" ref="CZ297" si="1386">(1+CZ295)/(1+CZ296)-1</f>
        <v>-0.00883275394042926</v>
      </c>
      <c r="DA297" s="141">
        <f t="shared" ref="DA297:DC297" si="1387">(1+DA295)/(1+DA296)-1</f>
        <v>0.0312304286079723</v>
      </c>
      <c r="DB297" s="141">
        <f t="shared" si="1387"/>
        <v>0.00198499871469004</v>
      </c>
      <c r="DC297" s="141">
        <f t="shared" si="1387"/>
        <v>0.0373521396463756</v>
      </c>
      <c r="DD297" s="140">
        <f t="shared" ref="DD297" si="1388">DD295-DD296</f>
        <v>0.0156436653003581</v>
      </c>
      <c r="DE297" s="141">
        <f t="shared" ref="DE297:DF297" si="1389">(1+DE295)/(1+DE296)-1</f>
        <v>0.0404924643746192</v>
      </c>
      <c r="DF297" s="141">
        <f t="shared" si="1389"/>
        <v>-0.0120696938677933</v>
      </c>
      <c r="DG297" s="213">
        <v>0</v>
      </c>
      <c r="DH297" s="213">
        <v>0</v>
      </c>
      <c r="DI297" s="140">
        <f t="shared" ref="DI297" si="1390">DI295-DI296</f>
        <v>0.00645718793915337</v>
      </c>
      <c r="DJ297" s="213">
        <v>0</v>
      </c>
      <c r="DK297" s="213">
        <v>0</v>
      </c>
      <c r="DL297" s="213">
        <v>0</v>
      </c>
      <c r="DM297" s="213">
        <v>0</v>
      </c>
      <c r="DN297" s="140">
        <f t="shared" ref="DN297" si="1391">DN295-DN296</f>
        <v>-8.32667268468867e-17</v>
      </c>
      <c r="DO297" s="213">
        <v>0</v>
      </c>
      <c r="DP297" s="213">
        <v>0</v>
      </c>
      <c r="DQ297" s="213">
        <v>0</v>
      </c>
      <c r="DR297" s="213">
        <v>0</v>
      </c>
      <c r="DS297" s="140">
        <f t="shared" ref="DS297" si="1392">DS295-DS296</f>
        <v>0</v>
      </c>
    </row>
    <row r="298" s="3" customFormat="1" spans="2:123">
      <c r="B298" s="130"/>
      <c r="C298" s="284"/>
      <c r="D298" s="189"/>
      <c r="E298" s="189"/>
      <c r="F298" s="189"/>
      <c r="G298" s="189"/>
      <c r="H298" s="188"/>
      <c r="I298" s="189"/>
      <c r="J298" s="189"/>
      <c r="K298" s="189"/>
      <c r="L298" s="189"/>
      <c r="M298" s="188"/>
      <c r="N298" s="189"/>
      <c r="O298" s="189"/>
      <c r="P298" s="189"/>
      <c r="Q298" s="189"/>
      <c r="R298" s="188"/>
      <c r="S298" s="189"/>
      <c r="T298" s="189"/>
      <c r="U298" s="189"/>
      <c r="V298" s="189"/>
      <c r="W298" s="188"/>
      <c r="X298" s="189"/>
      <c r="Y298" s="189"/>
      <c r="Z298" s="195"/>
      <c r="AA298" s="195"/>
      <c r="AB298" s="188"/>
      <c r="AC298" s="195"/>
      <c r="AD298" s="195"/>
      <c r="AE298" s="195"/>
      <c r="AF298" s="195"/>
      <c r="AG298" s="194"/>
      <c r="AH298" s="195"/>
      <c r="AI298" s="195"/>
      <c r="AJ298" s="195"/>
      <c r="AK298" s="195"/>
      <c r="AL298" s="194"/>
      <c r="AM298" s="195"/>
      <c r="AN298" s="195"/>
      <c r="AO298" s="195"/>
      <c r="AP298" s="195"/>
      <c r="AQ298" s="194"/>
      <c r="AR298" s="195"/>
      <c r="AS298" s="195"/>
      <c r="AT298" s="195"/>
      <c r="AU298" s="195"/>
      <c r="AV298" s="194"/>
      <c r="AW298" s="195"/>
      <c r="AX298" s="195"/>
      <c r="AY298" s="195"/>
      <c r="AZ298" s="195"/>
      <c r="BA298" s="194"/>
      <c r="BB298" s="195"/>
      <c r="BC298" s="195"/>
      <c r="BD298" s="195"/>
      <c r="BE298" s="195"/>
      <c r="BF298" s="194"/>
      <c r="BG298" s="195"/>
      <c r="BH298" s="195"/>
      <c r="BI298" s="195"/>
      <c r="BJ298" s="195"/>
      <c r="BK298" s="194"/>
      <c r="BL298" s="195"/>
      <c r="BM298" s="195"/>
      <c r="BN298" s="195"/>
      <c r="BO298" s="195"/>
      <c r="BP298" s="194"/>
      <c r="BQ298" s="195"/>
      <c r="BR298" s="195"/>
      <c r="BS298" s="195"/>
      <c r="BT298" s="120"/>
      <c r="BU298" s="119"/>
      <c r="BV298" s="120"/>
      <c r="BW298" s="120"/>
      <c r="BX298" s="120"/>
      <c r="BY298" s="189"/>
      <c r="BZ298" s="188"/>
      <c r="CA298" s="189"/>
      <c r="CB298" s="189"/>
      <c r="CC298" s="189"/>
      <c r="CD298" s="189"/>
      <c r="CE298" s="188"/>
      <c r="CF298" s="189"/>
      <c r="CG298" s="189"/>
      <c r="CH298" s="189"/>
      <c r="CI298" s="189"/>
      <c r="CJ298" s="188"/>
      <c r="CK298" s="189"/>
      <c r="CL298" s="189"/>
      <c r="CM298" s="189"/>
      <c r="CN298" s="189"/>
      <c r="CO298" s="188"/>
      <c r="CP298" s="189"/>
      <c r="CQ298" s="189"/>
      <c r="CR298" s="189"/>
      <c r="CS298" s="189"/>
      <c r="CT298" s="188"/>
      <c r="CU298" s="189"/>
      <c r="CV298" s="189"/>
      <c r="CW298" s="189"/>
      <c r="CX298" s="189"/>
      <c r="CY298" s="188"/>
      <c r="CZ298" s="189"/>
      <c r="DA298" s="189"/>
      <c r="DB298" s="189"/>
      <c r="DC298" s="189"/>
      <c r="DD298" s="188"/>
      <c r="DE298" s="308"/>
      <c r="DF298" s="189"/>
      <c r="DG298" s="189"/>
      <c r="DH298" s="189"/>
      <c r="DI298" s="188"/>
      <c r="DJ298" s="189"/>
      <c r="DK298" s="189"/>
      <c r="DL298" s="189"/>
      <c r="DM298" s="189"/>
      <c r="DN298" s="188"/>
      <c r="DO298" s="189"/>
      <c r="DP298" s="189"/>
      <c r="DQ298" s="189"/>
      <c r="DR298" s="189"/>
      <c r="DS298" s="188"/>
    </row>
    <row r="299" spans="2:123">
      <c r="B299" s="33" t="s">
        <v>403</v>
      </c>
      <c r="C299" s="242"/>
      <c r="D299" s="120"/>
      <c r="E299" s="120"/>
      <c r="F299" s="120"/>
      <c r="G299" s="120"/>
      <c r="H299" s="119"/>
      <c r="I299" s="120"/>
      <c r="J299" s="120"/>
      <c r="K299" s="120"/>
      <c r="L299" s="120"/>
      <c r="M299" s="119"/>
      <c r="N299" s="120"/>
      <c r="O299" s="120"/>
      <c r="P299" s="120"/>
      <c r="Q299" s="120"/>
      <c r="R299" s="119"/>
      <c r="S299" s="120"/>
      <c r="T299" s="120"/>
      <c r="U299" s="120"/>
      <c r="V299" s="120"/>
      <c r="W299" s="119"/>
      <c r="X299" s="120"/>
      <c r="Y299" s="120"/>
      <c r="Z299" s="349"/>
      <c r="AA299" s="349"/>
      <c r="AB299" s="119"/>
      <c r="AC299" s="349"/>
      <c r="AD299" s="349"/>
      <c r="AE299" s="349"/>
      <c r="AF299" s="349"/>
      <c r="AG299" s="350"/>
      <c r="AH299" s="349"/>
      <c r="AI299" s="349"/>
      <c r="AJ299" s="349"/>
      <c r="AK299" s="349"/>
      <c r="AL299" s="350"/>
      <c r="AM299" s="349"/>
      <c r="AN299" s="349"/>
      <c r="AO299" s="349"/>
      <c r="AP299" s="349"/>
      <c r="AQ299" s="350"/>
      <c r="AR299" s="349"/>
      <c r="AS299" s="349"/>
      <c r="AT299" s="349"/>
      <c r="AU299" s="349"/>
      <c r="AV299" s="350"/>
      <c r="AW299" s="349"/>
      <c r="AX299" s="349"/>
      <c r="AY299" s="349"/>
      <c r="AZ299" s="349"/>
      <c r="BA299" s="350"/>
      <c r="BB299" s="349"/>
      <c r="BC299" s="349"/>
      <c r="BD299" s="349"/>
      <c r="BE299" s="349"/>
      <c r="BF299" s="350"/>
      <c r="BG299" s="349"/>
      <c r="BH299" s="349"/>
      <c r="BI299" s="349"/>
      <c r="BJ299" s="349"/>
      <c r="BK299" s="350"/>
      <c r="BL299" s="349"/>
      <c r="BM299" s="349"/>
      <c r="BN299" s="349"/>
      <c r="BO299" s="349"/>
      <c r="BP299" s="350"/>
      <c r="BQ299" s="349"/>
      <c r="BR299" s="349"/>
      <c r="BS299" s="349"/>
      <c r="BT299" s="120"/>
      <c r="BU299" s="119"/>
      <c r="BV299" s="120"/>
      <c r="BW299" s="120"/>
      <c r="BX299" s="120"/>
      <c r="BY299" s="120"/>
      <c r="BZ299" s="119"/>
      <c r="CA299" s="120"/>
      <c r="CB299" s="120"/>
      <c r="CC299" s="120"/>
      <c r="CD299" s="120"/>
      <c r="CE299" s="763" t="s">
        <v>208</v>
      </c>
      <c r="CF299" s="761" t="s">
        <v>208</v>
      </c>
      <c r="CG299" s="761" t="s">
        <v>208</v>
      </c>
      <c r="CH299" s="761" t="s">
        <v>208</v>
      </c>
      <c r="CI299" s="761" t="s">
        <v>208</v>
      </c>
      <c r="CJ299" s="763" t="s">
        <v>208</v>
      </c>
      <c r="CK299" s="761" t="s">
        <v>208</v>
      </c>
      <c r="CL299" s="761" t="s">
        <v>208</v>
      </c>
      <c r="CM299" s="761" t="s">
        <v>208</v>
      </c>
      <c r="CN299" s="761" t="s">
        <v>208</v>
      </c>
      <c r="CO299" s="768" t="s">
        <v>208</v>
      </c>
      <c r="CP299" s="766" t="s">
        <v>208</v>
      </c>
      <c r="CQ299" s="766" t="s">
        <v>208</v>
      </c>
      <c r="CR299" s="766" t="s">
        <v>208</v>
      </c>
      <c r="CS299" s="290">
        <v>0.32</v>
      </c>
      <c r="CT299" s="289">
        <v>0.32</v>
      </c>
      <c r="CU299" s="301">
        <v>0.35</v>
      </c>
      <c r="CV299" s="301">
        <v>0.17</v>
      </c>
      <c r="CW299" s="301">
        <v>0.23</v>
      </c>
      <c r="CX299" s="290">
        <v>0.14</v>
      </c>
      <c r="CY299" s="289">
        <v>0.19</v>
      </c>
      <c r="CZ299" s="301">
        <v>0.06</v>
      </c>
      <c r="DA299" s="301">
        <v>0.12</v>
      </c>
      <c r="DB299" s="301">
        <v>0.18</v>
      </c>
      <c r="DC299" s="301">
        <v>0.09</v>
      </c>
      <c r="DD299" s="302">
        <v>0.09</v>
      </c>
      <c r="DE299" s="301">
        <v>0.05</v>
      </c>
      <c r="DF299" s="301">
        <v>-0.04</v>
      </c>
      <c r="DG299" s="301">
        <f t="shared" ref="DG299:DH299" si="1393">DG300+DG297</f>
        <v>-0.01</v>
      </c>
      <c r="DH299" s="301">
        <f t="shared" si="1393"/>
        <v>-0.02</v>
      </c>
      <c r="DI299" s="302">
        <f>SUMPRODUCT(DE299:DH299,CZ294:DC294)/DD294</f>
        <v>-0.00723993957716006</v>
      </c>
      <c r="DJ299" s="301">
        <f t="shared" ref="DJ299:DM299" si="1394">DJ300+DJ297</f>
        <v>0</v>
      </c>
      <c r="DK299" s="301">
        <f t="shared" si="1394"/>
        <v>0.02</v>
      </c>
      <c r="DL299" s="301">
        <f t="shared" si="1394"/>
        <v>0.04</v>
      </c>
      <c r="DM299" s="301">
        <f t="shared" si="1394"/>
        <v>0.04</v>
      </c>
      <c r="DN299" s="302">
        <f>SUMPRODUCT(DJ299:DM299,DE294:DH294)/DI294</f>
        <v>0.0256432921631323</v>
      </c>
      <c r="DO299" s="301">
        <f t="shared" ref="DO299:DR299" si="1395">DO300+DO297</f>
        <v>0.06</v>
      </c>
      <c r="DP299" s="301">
        <f t="shared" si="1395"/>
        <v>0.06</v>
      </c>
      <c r="DQ299" s="301">
        <f t="shared" si="1395"/>
        <v>0.06</v>
      </c>
      <c r="DR299" s="301">
        <f t="shared" si="1395"/>
        <v>0.06</v>
      </c>
      <c r="DS299" s="302">
        <f>SUMPRODUCT(DO299:DR299,DJ294:DM294)/DN294</f>
        <v>0.06</v>
      </c>
    </row>
    <row r="300" s="3" customFormat="1" spans="2:123">
      <c r="B300" s="130" t="s">
        <v>404</v>
      </c>
      <c r="C300" s="284"/>
      <c r="D300" s="189"/>
      <c r="E300" s="189"/>
      <c r="F300" s="189"/>
      <c r="G300" s="189"/>
      <c r="H300" s="188"/>
      <c r="I300" s="189"/>
      <c r="J300" s="189"/>
      <c r="K300" s="189"/>
      <c r="L300" s="189"/>
      <c r="M300" s="188"/>
      <c r="N300" s="189"/>
      <c r="O300" s="189"/>
      <c r="P300" s="189"/>
      <c r="Q300" s="189"/>
      <c r="R300" s="188"/>
      <c r="S300" s="189"/>
      <c r="T300" s="189"/>
      <c r="U300" s="189"/>
      <c r="V300" s="189"/>
      <c r="W300" s="188"/>
      <c r="X300" s="189"/>
      <c r="Y300" s="189"/>
      <c r="Z300" s="195"/>
      <c r="AA300" s="195"/>
      <c r="AB300" s="188"/>
      <c r="AC300" s="195"/>
      <c r="AD300" s="195"/>
      <c r="AE300" s="195"/>
      <c r="AF300" s="195"/>
      <c r="AG300" s="194"/>
      <c r="AH300" s="195"/>
      <c r="AI300" s="195"/>
      <c r="AJ300" s="195"/>
      <c r="AK300" s="195"/>
      <c r="AL300" s="194"/>
      <c r="AM300" s="195"/>
      <c r="AN300" s="195"/>
      <c r="AO300" s="195"/>
      <c r="AP300" s="195"/>
      <c r="AQ300" s="194"/>
      <c r="AR300" s="195"/>
      <c r="AS300" s="195"/>
      <c r="AT300" s="195"/>
      <c r="AU300" s="195"/>
      <c r="AV300" s="194"/>
      <c r="AW300" s="195"/>
      <c r="AX300" s="195"/>
      <c r="AY300" s="195"/>
      <c r="AZ300" s="195"/>
      <c r="BA300" s="194"/>
      <c r="BB300" s="195"/>
      <c r="BC300" s="195"/>
      <c r="BD300" s="195"/>
      <c r="BE300" s="195"/>
      <c r="BF300" s="194"/>
      <c r="BG300" s="195"/>
      <c r="BH300" s="195"/>
      <c r="BI300" s="195"/>
      <c r="BJ300" s="195"/>
      <c r="BK300" s="194"/>
      <c r="BL300" s="195"/>
      <c r="BM300" s="195"/>
      <c r="BN300" s="195"/>
      <c r="BO300" s="195"/>
      <c r="BP300" s="194"/>
      <c r="BQ300" s="195"/>
      <c r="BR300" s="195"/>
      <c r="BS300" s="195"/>
      <c r="BT300" s="120"/>
      <c r="BU300" s="119"/>
      <c r="BV300" s="120"/>
      <c r="BW300" s="120"/>
      <c r="BX300" s="120"/>
      <c r="BY300" s="189"/>
      <c r="BZ300" s="188"/>
      <c r="CA300" s="189"/>
      <c r="CB300" s="189"/>
      <c r="CC300" s="189"/>
      <c r="CD300" s="189"/>
      <c r="CE300" s="759" t="s">
        <v>208</v>
      </c>
      <c r="CF300" s="775" t="s">
        <v>208</v>
      </c>
      <c r="CG300" s="775" t="s">
        <v>208</v>
      </c>
      <c r="CH300" s="775" t="s">
        <v>208</v>
      </c>
      <c r="CI300" s="775" t="s">
        <v>208</v>
      </c>
      <c r="CJ300" s="759" t="s">
        <v>208</v>
      </c>
      <c r="CK300" s="775" t="s">
        <v>208</v>
      </c>
      <c r="CL300" s="775" t="s">
        <v>208</v>
      </c>
      <c r="CM300" s="775" t="s">
        <v>208</v>
      </c>
      <c r="CN300" s="775" t="s">
        <v>208</v>
      </c>
      <c r="CO300" s="771" t="s">
        <v>208</v>
      </c>
      <c r="CP300" s="772" t="s">
        <v>208</v>
      </c>
      <c r="CQ300" s="772" t="s">
        <v>208</v>
      </c>
      <c r="CR300" s="772" t="s">
        <v>208</v>
      </c>
      <c r="CS300" s="303">
        <v>0.31</v>
      </c>
      <c r="CT300" s="304">
        <v>0.33</v>
      </c>
      <c r="CU300" s="305">
        <v>0.4</v>
      </c>
      <c r="CV300" s="305">
        <v>0.2</v>
      </c>
      <c r="CW300" s="305">
        <v>0.2</v>
      </c>
      <c r="CX300" s="303">
        <v>0.17</v>
      </c>
      <c r="CY300" s="304">
        <v>0.2</v>
      </c>
      <c r="CZ300" s="305">
        <v>0.07</v>
      </c>
      <c r="DA300" s="305">
        <v>0.09</v>
      </c>
      <c r="DB300" s="305">
        <v>0.18</v>
      </c>
      <c r="DC300" s="305">
        <v>0.05</v>
      </c>
      <c r="DD300" s="306">
        <v>0.07</v>
      </c>
      <c r="DE300" s="305">
        <v>0.01</v>
      </c>
      <c r="DF300" s="305">
        <v>-0.03</v>
      </c>
      <c r="DG300" s="307">
        <v>-0.01</v>
      </c>
      <c r="DH300" s="307">
        <v>-0.02</v>
      </c>
      <c r="DI300" s="306">
        <f>SUMPRODUCT(DE300:DH300,CZ294:DC294)/DD294</f>
        <v>-0.013489452323061</v>
      </c>
      <c r="DJ300" s="307">
        <v>0</v>
      </c>
      <c r="DK300" s="307">
        <v>0.02</v>
      </c>
      <c r="DL300" s="307">
        <v>0.04</v>
      </c>
      <c r="DM300" s="307">
        <v>0.04</v>
      </c>
      <c r="DN300" s="306">
        <f>SUMPRODUCT(DJ300:DM300,DE294:DH294)/DI294</f>
        <v>0.0256432921631323</v>
      </c>
      <c r="DO300" s="307">
        <v>0.06</v>
      </c>
      <c r="DP300" s="307">
        <v>0.06</v>
      </c>
      <c r="DQ300" s="307">
        <v>0.06</v>
      </c>
      <c r="DR300" s="307">
        <v>0.06</v>
      </c>
      <c r="DS300" s="306">
        <f>SUMPRODUCT(DO300:DR300,DJ294:DM294)/DN294</f>
        <v>0.06</v>
      </c>
    </row>
    <row r="301" s="3" customFormat="1" spans="2:123">
      <c r="B301" s="130"/>
      <c r="C301" s="284"/>
      <c r="D301" s="189"/>
      <c r="E301" s="189"/>
      <c r="F301" s="189"/>
      <c r="G301" s="189"/>
      <c r="H301" s="188"/>
      <c r="I301" s="189"/>
      <c r="J301" s="189"/>
      <c r="K301" s="189"/>
      <c r="L301" s="189"/>
      <c r="M301" s="188"/>
      <c r="N301" s="189"/>
      <c r="O301" s="189"/>
      <c r="P301" s="189"/>
      <c r="Q301" s="189"/>
      <c r="R301" s="188"/>
      <c r="S301" s="189"/>
      <c r="T301" s="189"/>
      <c r="U301" s="189"/>
      <c r="V301" s="189"/>
      <c r="W301" s="188"/>
      <c r="X301" s="189"/>
      <c r="Y301" s="189"/>
      <c r="Z301" s="195"/>
      <c r="AA301" s="195"/>
      <c r="AB301" s="188"/>
      <c r="AC301" s="195"/>
      <c r="AD301" s="195"/>
      <c r="AE301" s="195"/>
      <c r="AF301" s="195"/>
      <c r="AG301" s="194"/>
      <c r="AH301" s="195"/>
      <c r="AI301" s="195"/>
      <c r="AJ301" s="195"/>
      <c r="AK301" s="195"/>
      <c r="AL301" s="194"/>
      <c r="AM301" s="195"/>
      <c r="AN301" s="195"/>
      <c r="AO301" s="195"/>
      <c r="AP301" s="195"/>
      <c r="AQ301" s="194"/>
      <c r="AR301" s="195"/>
      <c r="AS301" s="195"/>
      <c r="AT301" s="195"/>
      <c r="AU301" s="195"/>
      <c r="AV301" s="194"/>
      <c r="AW301" s="195"/>
      <c r="AX301" s="195"/>
      <c r="AY301" s="195"/>
      <c r="AZ301" s="195"/>
      <c r="BA301" s="194"/>
      <c r="BB301" s="195"/>
      <c r="BC301" s="195"/>
      <c r="BD301" s="195"/>
      <c r="BE301" s="195"/>
      <c r="BF301" s="194"/>
      <c r="BG301" s="195"/>
      <c r="BH301" s="195"/>
      <c r="BI301" s="195"/>
      <c r="BJ301" s="195"/>
      <c r="BK301" s="194"/>
      <c r="BL301" s="195"/>
      <c r="BM301" s="195"/>
      <c r="BN301" s="195"/>
      <c r="BO301" s="195"/>
      <c r="BP301" s="194"/>
      <c r="BQ301" s="195"/>
      <c r="BR301" s="195"/>
      <c r="BS301" s="195"/>
      <c r="BT301" s="120"/>
      <c r="BU301" s="119"/>
      <c r="BV301" s="120"/>
      <c r="BW301" s="120"/>
      <c r="BX301" s="120"/>
      <c r="BY301" s="189"/>
      <c r="BZ301" s="188"/>
      <c r="CA301" s="189"/>
      <c r="CB301" s="189"/>
      <c r="CC301" s="189"/>
      <c r="CD301" s="189"/>
      <c r="CE301" s="188"/>
      <c r="CF301" s="189"/>
      <c r="CG301" s="189"/>
      <c r="CH301" s="189"/>
      <c r="CI301" s="189"/>
      <c r="CJ301" s="188"/>
      <c r="CK301" s="189"/>
      <c r="CL301" s="189"/>
      <c r="CM301" s="189"/>
      <c r="CN301" s="189"/>
      <c r="CO301" s="188"/>
      <c r="CP301" s="189"/>
      <c r="CQ301" s="189"/>
      <c r="CR301" s="189"/>
      <c r="CS301" s="189"/>
      <c r="CT301" s="188"/>
      <c r="CU301" s="189"/>
      <c r="CV301" s="189"/>
      <c r="CW301" s="189"/>
      <c r="CX301" s="189"/>
      <c r="CY301" s="188"/>
      <c r="CZ301" s="189"/>
      <c r="DA301" s="189"/>
      <c r="DB301" s="189"/>
      <c r="DC301" s="189"/>
      <c r="DD301" s="188"/>
      <c r="DE301" s="308"/>
      <c r="DF301" s="189"/>
      <c r="DG301" s="189"/>
      <c r="DH301" s="189"/>
      <c r="DI301" s="188"/>
      <c r="DJ301" s="189"/>
      <c r="DK301" s="189"/>
      <c r="DL301" s="189"/>
      <c r="DM301" s="189"/>
      <c r="DN301" s="188"/>
      <c r="DO301" s="189"/>
      <c r="DP301" s="189"/>
      <c r="DQ301" s="189"/>
      <c r="DR301" s="189"/>
      <c r="DS301" s="188"/>
    </row>
    <row r="302" s="1" customFormat="1" spans="2:123">
      <c r="B302" s="352" t="s">
        <v>374</v>
      </c>
      <c r="C302" s="226"/>
      <c r="D302" s="196"/>
      <c r="E302" s="196"/>
      <c r="F302" s="196"/>
      <c r="G302" s="196"/>
      <c r="H302" s="67"/>
      <c r="I302" s="196"/>
      <c r="J302" s="196"/>
      <c r="K302" s="196"/>
      <c r="L302" s="196"/>
      <c r="M302" s="67"/>
      <c r="N302" s="196"/>
      <c r="O302" s="196"/>
      <c r="P302" s="196"/>
      <c r="Q302" s="196"/>
      <c r="R302" s="67"/>
      <c r="S302" s="196"/>
      <c r="T302" s="196"/>
      <c r="U302" s="196"/>
      <c r="V302" s="196"/>
      <c r="W302" s="67"/>
      <c r="X302" s="196"/>
      <c r="Y302" s="196"/>
      <c r="Z302" s="196"/>
      <c r="AA302" s="196"/>
      <c r="AB302" s="67"/>
      <c r="AC302" s="196"/>
      <c r="AD302" s="196"/>
      <c r="AE302" s="196"/>
      <c r="AF302" s="196"/>
      <c r="AG302" s="67"/>
      <c r="AH302" s="196"/>
      <c r="AI302" s="196"/>
      <c r="AJ302" s="196"/>
      <c r="AK302" s="196"/>
      <c r="AL302" s="67"/>
      <c r="AM302" s="196"/>
      <c r="AN302" s="196"/>
      <c r="AO302" s="196"/>
      <c r="AP302" s="196"/>
      <c r="AQ302" s="67"/>
      <c r="AR302" s="196"/>
      <c r="AS302" s="196"/>
      <c r="AT302" s="196"/>
      <c r="AU302" s="196"/>
      <c r="AV302" s="67"/>
      <c r="AW302" s="196"/>
      <c r="AX302" s="196"/>
      <c r="AY302" s="196"/>
      <c r="AZ302" s="196"/>
      <c r="BA302" s="67"/>
      <c r="BB302" s="196"/>
      <c r="BC302" s="196"/>
      <c r="BD302" s="196"/>
      <c r="BE302" s="196"/>
      <c r="BF302" s="67"/>
      <c r="BG302" s="196"/>
      <c r="BH302" s="196"/>
      <c r="BI302" s="196"/>
      <c r="BJ302" s="196"/>
      <c r="BK302" s="67"/>
      <c r="BL302" s="196"/>
      <c r="BM302" s="196"/>
      <c r="BN302" s="196"/>
      <c r="BO302" s="196"/>
      <c r="BP302" s="67"/>
      <c r="BQ302" s="196"/>
      <c r="BR302" s="196"/>
      <c r="BS302" s="196"/>
      <c r="BT302" s="196"/>
      <c r="BU302" s="67"/>
      <c r="BV302" s="196"/>
      <c r="BW302" s="196"/>
      <c r="BX302" s="196"/>
      <c r="BY302" s="196"/>
      <c r="BZ302" s="67"/>
      <c r="CA302" s="196"/>
      <c r="CB302" s="196"/>
      <c r="CC302" s="196"/>
      <c r="CD302" s="196"/>
      <c r="CE302" s="67"/>
      <c r="CF302" s="196"/>
      <c r="CG302" s="196"/>
      <c r="CH302" s="196"/>
      <c r="CI302" s="196"/>
      <c r="CJ302" s="67"/>
      <c r="CK302" s="141"/>
      <c r="CL302" s="141"/>
      <c r="CM302" s="141"/>
      <c r="CN302" s="141"/>
      <c r="CO302" s="140"/>
      <c r="CP302" s="196"/>
      <c r="CQ302" s="196"/>
      <c r="CR302" s="196"/>
      <c r="CS302" s="196"/>
      <c r="CT302" s="67"/>
      <c r="CU302" s="141">
        <f>((1+CU296)/(1+CU303)/(1+CU300)-1)/CU329</f>
        <v>-1.07936507936508</v>
      </c>
      <c r="CV302" s="141">
        <f>((1+CV296)/(1+CV303)/(1+CV300)-1)/CV329</f>
        <v>0.887962962962963</v>
      </c>
      <c r="CW302" s="141">
        <f>((1+CW296)/(1+CW303)/(1+CW300)-1)/CW329</f>
        <v>0.350000000000002</v>
      </c>
      <c r="CX302" s="141">
        <f>((1+CX296)/(1+CX303)/(1+CX300)-1)/CX329</f>
        <v>0.942344478497948</v>
      </c>
      <c r="CY302" s="140"/>
      <c r="CZ302" s="141">
        <f t="shared" ref="CZ302:DC302" si="1396">((1+CZ296)/(1+CZ303)/(1+CZ300)-1)/CZ329</f>
        <v>1.50571131879543</v>
      </c>
      <c r="DA302" s="141">
        <f t="shared" si="1396"/>
        <v>0.80366972477064</v>
      </c>
      <c r="DB302" s="141">
        <f t="shared" si="1396"/>
        <v>0.133809099018733</v>
      </c>
      <c r="DC302" s="141">
        <f t="shared" si="1396"/>
        <v>1.25734549138805</v>
      </c>
      <c r="DD302" s="140"/>
      <c r="DE302" s="142">
        <f t="shared" ref="DE302:DF302" si="1397">((1+DE296)/(1+DE303)/(1+DE300)-1)/DE329</f>
        <v>1.10891089108911</v>
      </c>
      <c r="DF302" s="141">
        <f t="shared" si="1397"/>
        <v>1.25862841774989</v>
      </c>
      <c r="DG302" s="213">
        <v>0.75</v>
      </c>
      <c r="DH302" s="213">
        <v>0.8</v>
      </c>
      <c r="DI302" s="140"/>
      <c r="DJ302" s="213">
        <v>0.8</v>
      </c>
      <c r="DK302" s="364">
        <v>0.8</v>
      </c>
      <c r="DL302" s="364">
        <v>0.8</v>
      </c>
      <c r="DM302" s="364">
        <v>0.8</v>
      </c>
      <c r="DN302" s="67"/>
      <c r="DO302" s="364">
        <v>0.8</v>
      </c>
      <c r="DP302" s="364">
        <v>0.8</v>
      </c>
      <c r="DQ302" s="364">
        <v>0.8</v>
      </c>
      <c r="DR302" s="364">
        <v>0.8</v>
      </c>
      <c r="DS302" s="67"/>
    </row>
    <row r="303" s="1" customFormat="1" spans="2:123">
      <c r="B303" s="352" t="s">
        <v>375</v>
      </c>
      <c r="C303" s="226"/>
      <c r="D303" s="196"/>
      <c r="E303" s="196"/>
      <c r="F303" s="196"/>
      <c r="G303" s="196"/>
      <c r="H303" s="67"/>
      <c r="I303" s="196"/>
      <c r="J303" s="196"/>
      <c r="K303" s="196"/>
      <c r="L303" s="196"/>
      <c r="M303" s="67"/>
      <c r="N303" s="196"/>
      <c r="O303" s="196"/>
      <c r="P303" s="196"/>
      <c r="Q303" s="196"/>
      <c r="R303" s="67"/>
      <c r="S303" s="196"/>
      <c r="T303" s="196"/>
      <c r="U303" s="196"/>
      <c r="V303" s="196"/>
      <c r="W303" s="67"/>
      <c r="X303" s="196"/>
      <c r="Y303" s="196"/>
      <c r="Z303" s="196"/>
      <c r="AA303" s="196"/>
      <c r="AB303" s="67"/>
      <c r="AC303" s="196"/>
      <c r="AD303" s="196"/>
      <c r="AE303" s="196"/>
      <c r="AF303" s="196"/>
      <c r="AG303" s="67"/>
      <c r="AH303" s="196"/>
      <c r="AI303" s="196"/>
      <c r="AJ303" s="196"/>
      <c r="AK303" s="196"/>
      <c r="AL303" s="67"/>
      <c r="AM303" s="196"/>
      <c r="AN303" s="196"/>
      <c r="AO303" s="196"/>
      <c r="AP303" s="196"/>
      <c r="AQ303" s="67"/>
      <c r="AR303" s="196"/>
      <c r="AS303" s="196"/>
      <c r="AT303" s="196"/>
      <c r="AU303" s="196"/>
      <c r="AV303" s="67"/>
      <c r="AW303" s="196"/>
      <c r="AX303" s="196"/>
      <c r="AY303" s="196"/>
      <c r="AZ303" s="196"/>
      <c r="BA303" s="67"/>
      <c r="BB303" s="196"/>
      <c r="BC303" s="196"/>
      <c r="BD303" s="196"/>
      <c r="BE303" s="196"/>
      <c r="BF303" s="67"/>
      <c r="BG303" s="196"/>
      <c r="BH303" s="196"/>
      <c r="BI303" s="196"/>
      <c r="BJ303" s="196"/>
      <c r="BK303" s="67"/>
      <c r="BL303" s="196"/>
      <c r="BM303" s="196"/>
      <c r="BN303" s="196"/>
      <c r="BO303" s="196"/>
      <c r="BP303" s="67"/>
      <c r="BQ303" s="196"/>
      <c r="BR303" s="196"/>
      <c r="BS303" s="196"/>
      <c r="BT303" s="196"/>
      <c r="BU303" s="67"/>
      <c r="BV303" s="196"/>
      <c r="BW303" s="196"/>
      <c r="BX303" s="196"/>
      <c r="BY303" s="196"/>
      <c r="BZ303" s="67"/>
      <c r="CA303" s="196"/>
      <c r="CB303" s="196"/>
      <c r="CC303" s="196"/>
      <c r="CD303" s="196"/>
      <c r="CE303" s="67"/>
      <c r="CF303" s="196"/>
      <c r="CG303" s="196"/>
      <c r="CH303" s="196"/>
      <c r="CI303" s="196"/>
      <c r="CJ303" s="67"/>
      <c r="CK303" s="141"/>
      <c r="CL303" s="141"/>
      <c r="CM303" s="141"/>
      <c r="CN303" s="141"/>
      <c r="CO303" s="140"/>
      <c r="CP303" s="196"/>
      <c r="CQ303" s="196"/>
      <c r="CR303" s="196"/>
      <c r="CS303" s="196"/>
      <c r="CT303" s="67"/>
      <c r="CU303" s="311">
        <v>0</v>
      </c>
      <c r="CV303" s="311">
        <v>0</v>
      </c>
      <c r="CW303" s="311">
        <v>0</v>
      </c>
      <c r="CX303" s="311">
        <v>0.07</v>
      </c>
      <c r="CY303" s="140">
        <f>SUMPRODUCT(CU303:CX303,CP294:CS294)/CT294</f>
        <v>0.020695878680029</v>
      </c>
      <c r="CZ303" s="311">
        <v>0</v>
      </c>
      <c r="DA303" s="311">
        <v>0</v>
      </c>
      <c r="DB303" s="311">
        <v>0</v>
      </c>
      <c r="DC303" s="142">
        <v>-0.06</v>
      </c>
      <c r="DD303" s="140">
        <f>SUMPRODUCT(CZ303:DC303,CU294:CX294)/CY294</f>
        <v>-0.0181296486382219</v>
      </c>
      <c r="DE303" s="311">
        <v>0</v>
      </c>
      <c r="DF303" s="311">
        <v>0</v>
      </c>
      <c r="DG303" s="213">
        <v>0</v>
      </c>
      <c r="DH303" s="213">
        <v>0</v>
      </c>
      <c r="DI303" s="140">
        <f>SUMPRODUCT(DE303:DH303,CZ294:DC294)/DD294</f>
        <v>0</v>
      </c>
      <c r="DJ303" s="213">
        <v>0</v>
      </c>
      <c r="DK303" s="364">
        <v>0</v>
      </c>
      <c r="DL303" s="364">
        <v>0</v>
      </c>
      <c r="DM303" s="364">
        <v>0</v>
      </c>
      <c r="DN303" s="67">
        <f>SUMPRODUCT(DJ303:DM303,DE294:DH294)/DI294</f>
        <v>0</v>
      </c>
      <c r="DO303" s="364">
        <v>0</v>
      </c>
      <c r="DP303" s="364">
        <v>0</v>
      </c>
      <c r="DQ303" s="364">
        <v>0</v>
      </c>
      <c r="DR303" s="364">
        <v>0</v>
      </c>
      <c r="DS303" s="67">
        <f>SUMPRODUCT(DO303:DR303,DJ294:DM294)/DN294</f>
        <v>0</v>
      </c>
    </row>
    <row r="304" s="3" customFormat="1" spans="2:123">
      <c r="B304" s="130"/>
      <c r="C304" s="284"/>
      <c r="D304" s="189"/>
      <c r="E304" s="189"/>
      <c r="F304" s="189"/>
      <c r="G304" s="189"/>
      <c r="H304" s="188"/>
      <c r="I304" s="189"/>
      <c r="J304" s="189"/>
      <c r="K304" s="189"/>
      <c r="L304" s="189"/>
      <c r="M304" s="188"/>
      <c r="N304" s="189"/>
      <c r="O304" s="189"/>
      <c r="P304" s="189"/>
      <c r="Q304" s="189"/>
      <c r="R304" s="188"/>
      <c r="S304" s="189"/>
      <c r="T304" s="189"/>
      <c r="U304" s="189"/>
      <c r="V304" s="189"/>
      <c r="W304" s="188"/>
      <c r="X304" s="189"/>
      <c r="Y304" s="189"/>
      <c r="Z304" s="195"/>
      <c r="AA304" s="195"/>
      <c r="AB304" s="188"/>
      <c r="AC304" s="195"/>
      <c r="AD304" s="195"/>
      <c r="AE304" s="195"/>
      <c r="AF304" s="195"/>
      <c r="AG304" s="194"/>
      <c r="AH304" s="195"/>
      <c r="AI304" s="195"/>
      <c r="AJ304" s="195"/>
      <c r="AK304" s="195"/>
      <c r="AL304" s="194"/>
      <c r="AM304" s="195"/>
      <c r="AN304" s="195"/>
      <c r="AO304" s="195"/>
      <c r="AP304" s="195"/>
      <c r="AQ304" s="194"/>
      <c r="AR304" s="195"/>
      <c r="AS304" s="195"/>
      <c r="AT304" s="195"/>
      <c r="AU304" s="195"/>
      <c r="AV304" s="194"/>
      <c r="AW304" s="195"/>
      <c r="AX304" s="195"/>
      <c r="AY304" s="195"/>
      <c r="AZ304" s="195"/>
      <c r="BA304" s="194"/>
      <c r="BB304" s="195"/>
      <c r="BC304" s="195"/>
      <c r="BD304" s="195"/>
      <c r="BE304" s="195"/>
      <c r="BF304" s="194"/>
      <c r="BG304" s="195"/>
      <c r="BH304" s="195"/>
      <c r="BI304" s="195"/>
      <c r="BJ304" s="195"/>
      <c r="BK304" s="194"/>
      <c r="BL304" s="195"/>
      <c r="BM304" s="195"/>
      <c r="BN304" s="195"/>
      <c r="BO304" s="195"/>
      <c r="BP304" s="194"/>
      <c r="BQ304" s="195"/>
      <c r="BR304" s="195"/>
      <c r="BS304" s="195"/>
      <c r="BT304" s="120"/>
      <c r="BU304" s="119"/>
      <c r="BV304" s="120"/>
      <c r="BW304" s="120"/>
      <c r="BX304" s="120"/>
      <c r="BY304" s="189"/>
      <c r="BZ304" s="188"/>
      <c r="CA304" s="189"/>
      <c r="CB304" s="189"/>
      <c r="CC304" s="189"/>
      <c r="CD304" s="189"/>
      <c r="CE304" s="188"/>
      <c r="CF304" s="189"/>
      <c r="CG304" s="189"/>
      <c r="CH304" s="189"/>
      <c r="CI304" s="189"/>
      <c r="CJ304" s="188"/>
      <c r="CK304" s="189"/>
      <c r="CL304" s="189"/>
      <c r="CM304" s="189"/>
      <c r="CN304" s="189"/>
      <c r="CO304" s="188"/>
      <c r="CP304" s="189"/>
      <c r="CQ304" s="189"/>
      <c r="CR304" s="189"/>
      <c r="CS304" s="189"/>
      <c r="CT304" s="188"/>
      <c r="CU304" s="189"/>
      <c r="CV304" s="189"/>
      <c r="CW304" s="189"/>
      <c r="CX304" s="189"/>
      <c r="CY304" s="188"/>
      <c r="CZ304" s="189"/>
      <c r="DA304" s="189"/>
      <c r="DB304" s="189"/>
      <c r="DC304" s="189"/>
      <c r="DD304" s="188"/>
      <c r="DE304" s="189"/>
      <c r="DF304" s="189"/>
      <c r="DG304" s="189"/>
      <c r="DH304" s="189"/>
      <c r="DI304" s="188"/>
      <c r="DJ304" s="189"/>
      <c r="DK304" s="189"/>
      <c r="DL304" s="189"/>
      <c r="DM304" s="189"/>
      <c r="DN304" s="188"/>
      <c r="DO304" s="189"/>
      <c r="DP304" s="189"/>
      <c r="DQ304" s="189"/>
      <c r="DR304" s="189"/>
      <c r="DS304" s="188"/>
    </row>
    <row r="305" s="3" customFormat="1" hidden="1" outlineLevel="1" spans="2:123">
      <c r="B305" s="312" t="s">
        <v>303</v>
      </c>
      <c r="C305" s="284"/>
      <c r="D305" s="189"/>
      <c r="E305" s="189"/>
      <c r="F305" s="189"/>
      <c r="G305" s="189"/>
      <c r="H305" s="188"/>
      <c r="I305" s="189"/>
      <c r="J305" s="189"/>
      <c r="K305" s="189"/>
      <c r="L305" s="189"/>
      <c r="M305" s="188"/>
      <c r="N305" s="189"/>
      <c r="O305" s="189"/>
      <c r="P305" s="189"/>
      <c r="Q305" s="189"/>
      <c r="R305" s="188"/>
      <c r="S305" s="189"/>
      <c r="T305" s="189"/>
      <c r="U305" s="189"/>
      <c r="V305" s="189"/>
      <c r="W305" s="188"/>
      <c r="X305" s="189"/>
      <c r="Y305" s="189"/>
      <c r="Z305" s="195"/>
      <c r="AA305" s="195"/>
      <c r="AB305" s="188"/>
      <c r="AC305" s="195"/>
      <c r="AD305" s="195"/>
      <c r="AE305" s="195"/>
      <c r="AF305" s="195"/>
      <c r="AG305" s="194"/>
      <c r="AH305" s="195"/>
      <c r="AI305" s="195"/>
      <c r="AJ305" s="195"/>
      <c r="AK305" s="195"/>
      <c r="AL305" s="194"/>
      <c r="AM305" s="195"/>
      <c r="AN305" s="195"/>
      <c r="AO305" s="195"/>
      <c r="AP305" s="195"/>
      <c r="AQ305" s="194"/>
      <c r="AR305" s="195"/>
      <c r="AS305" s="195"/>
      <c r="AT305" s="195"/>
      <c r="AU305" s="195"/>
      <c r="AV305" s="194"/>
      <c r="AW305" s="195"/>
      <c r="AX305" s="195"/>
      <c r="AY305" s="195"/>
      <c r="AZ305" s="195"/>
      <c r="BA305" s="194"/>
      <c r="BB305" s="195"/>
      <c r="BC305" s="195"/>
      <c r="BD305" s="195"/>
      <c r="BE305" s="195"/>
      <c r="BF305" s="194"/>
      <c r="BG305" s="195"/>
      <c r="BH305" s="195"/>
      <c r="BI305" s="195"/>
      <c r="BJ305" s="195"/>
      <c r="BK305" s="194"/>
      <c r="BL305" s="195"/>
      <c r="BM305" s="195"/>
      <c r="BN305" s="195"/>
      <c r="BO305" s="195"/>
      <c r="BP305" s="194"/>
      <c r="BQ305" s="195"/>
      <c r="BR305" s="195"/>
      <c r="BS305" s="195"/>
      <c r="BT305" s="120"/>
      <c r="BU305" s="119"/>
      <c r="BV305" s="120"/>
      <c r="BW305" s="120"/>
      <c r="BX305" s="120"/>
      <c r="BY305" s="189"/>
      <c r="BZ305" s="188"/>
      <c r="CA305" s="189"/>
      <c r="CB305" s="189"/>
      <c r="CC305" s="189"/>
      <c r="CD305" s="189"/>
      <c r="CE305" s="188"/>
      <c r="CF305" s="189"/>
      <c r="CG305" s="189"/>
      <c r="CH305" s="189"/>
      <c r="CI305" s="189"/>
      <c r="CJ305" s="188"/>
      <c r="CK305" s="189"/>
      <c r="CL305" s="189"/>
      <c r="CM305" s="189"/>
      <c r="CN305" s="189"/>
      <c r="CO305" s="188"/>
      <c r="CP305" s="189"/>
      <c r="CQ305" s="189"/>
      <c r="CR305" s="189"/>
      <c r="CS305" s="189"/>
      <c r="CT305" s="188"/>
      <c r="CU305" s="189"/>
      <c r="CV305" s="189"/>
      <c r="CW305" s="189"/>
      <c r="CX305" s="189"/>
      <c r="CY305" s="188"/>
      <c r="CZ305" s="189"/>
      <c r="DA305" s="189"/>
      <c r="DB305" s="189"/>
      <c r="DC305" s="189"/>
      <c r="DD305" s="188"/>
      <c r="DE305" s="189"/>
      <c r="DF305" s="189"/>
      <c r="DG305" s="189"/>
      <c r="DH305" s="189"/>
      <c r="DI305" s="188"/>
      <c r="DJ305" s="189"/>
      <c r="DK305" s="189"/>
      <c r="DL305" s="189"/>
      <c r="DM305" s="189"/>
      <c r="DN305" s="188"/>
      <c r="DO305" s="189"/>
      <c r="DP305" s="189"/>
      <c r="DQ305" s="189"/>
      <c r="DR305" s="189"/>
      <c r="DS305" s="188"/>
    </row>
    <row r="306" hidden="1" outlineLevel="1" spans="2:123">
      <c r="B306" s="179" t="s">
        <v>405</v>
      </c>
      <c r="C306" s="119"/>
      <c r="D306" s="120"/>
      <c r="E306" s="120"/>
      <c r="F306" s="120"/>
      <c r="G306" s="120"/>
      <c r="H306" s="119"/>
      <c r="I306" s="120"/>
      <c r="J306" s="120"/>
      <c r="K306" s="120"/>
      <c r="L306" s="120"/>
      <c r="M306" s="119"/>
      <c r="N306" s="120"/>
      <c r="O306" s="120"/>
      <c r="P306" s="120"/>
      <c r="Q306" s="187">
        <v>0</v>
      </c>
      <c r="R306" s="215">
        <f>Q306</f>
        <v>0</v>
      </c>
      <c r="S306" s="187">
        <v>0</v>
      </c>
      <c r="T306" s="187">
        <v>0</v>
      </c>
      <c r="U306" s="187">
        <v>0</v>
      </c>
      <c r="V306" s="187">
        <v>0</v>
      </c>
      <c r="W306" s="215">
        <f>V306</f>
        <v>0</v>
      </c>
      <c r="X306" s="187">
        <v>0</v>
      </c>
      <c r="Y306" s="187">
        <v>0</v>
      </c>
      <c r="Z306" s="187">
        <v>0</v>
      </c>
      <c r="AA306" s="187">
        <v>0</v>
      </c>
      <c r="AB306" s="215">
        <f>AA306</f>
        <v>0</v>
      </c>
      <c r="AC306" s="187">
        <v>0</v>
      </c>
      <c r="AD306" s="187">
        <v>10</v>
      </c>
      <c r="AE306" s="187">
        <v>11</v>
      </c>
      <c r="AF306" s="187">
        <v>11</v>
      </c>
      <c r="AG306" s="119">
        <f>AF306</f>
        <v>11</v>
      </c>
      <c r="AH306" s="187">
        <v>12</v>
      </c>
      <c r="AI306" s="187">
        <v>13</v>
      </c>
      <c r="AJ306" s="354">
        <v>14</v>
      </c>
      <c r="AK306" s="354">
        <v>18</v>
      </c>
      <c r="AL306" s="119">
        <f>AK306</f>
        <v>18</v>
      </c>
      <c r="AM306" s="354">
        <v>18</v>
      </c>
      <c r="AN306" s="354">
        <v>19</v>
      </c>
      <c r="AO306" s="354">
        <v>22</v>
      </c>
      <c r="AP306" s="354">
        <v>23</v>
      </c>
      <c r="AQ306" s="119">
        <f>AP306</f>
        <v>23</v>
      </c>
      <c r="AR306" s="354">
        <v>24</v>
      </c>
      <c r="AS306" s="354">
        <v>24</v>
      </c>
      <c r="AT306" s="354">
        <v>25</v>
      </c>
      <c r="AU306" s="354">
        <v>25</v>
      </c>
      <c r="AV306" s="119">
        <f>AU306</f>
        <v>25</v>
      </c>
      <c r="AW306" s="354">
        <v>26</v>
      </c>
      <c r="AX306" s="354">
        <v>25</v>
      </c>
      <c r="AY306" s="354">
        <v>25</v>
      </c>
      <c r="AZ306" s="354">
        <v>26</v>
      </c>
      <c r="BA306" s="119">
        <f>AZ306</f>
        <v>26</v>
      </c>
      <c r="BB306" s="354">
        <v>26</v>
      </c>
      <c r="BC306" s="354">
        <v>26</v>
      </c>
      <c r="BD306" s="354">
        <v>26</v>
      </c>
      <c r="BE306" s="354">
        <v>26</v>
      </c>
      <c r="BF306" s="119">
        <f>BE306</f>
        <v>26</v>
      </c>
      <c r="BG306" s="354">
        <v>27</v>
      </c>
      <c r="BH306" s="354">
        <v>27</v>
      </c>
      <c r="BI306" s="354">
        <v>25</v>
      </c>
      <c r="BJ306" s="354">
        <v>27</v>
      </c>
      <c r="BK306" s="119">
        <f>BJ306</f>
        <v>27</v>
      </c>
      <c r="BL306" s="354">
        <v>27</v>
      </c>
      <c r="BM306" s="354">
        <v>27</v>
      </c>
      <c r="BN306" s="354">
        <v>27</v>
      </c>
      <c r="BO306" s="120">
        <v>28</v>
      </c>
      <c r="BP306" s="119">
        <f>BO306</f>
        <v>28</v>
      </c>
      <c r="BQ306" s="120">
        <v>29</v>
      </c>
      <c r="BR306" s="120">
        <v>29</v>
      </c>
      <c r="BS306" s="120">
        <v>29</v>
      </c>
      <c r="BT306" s="120">
        <v>29</v>
      </c>
      <c r="BU306" s="119">
        <f>BT306</f>
        <v>29</v>
      </c>
      <c r="BV306" s="120">
        <v>31</v>
      </c>
      <c r="BW306" s="120">
        <v>31</v>
      </c>
      <c r="BX306" s="120">
        <v>31</v>
      </c>
      <c r="BY306" s="120">
        <v>31</v>
      </c>
      <c r="BZ306" s="119">
        <f>BY306</f>
        <v>31</v>
      </c>
      <c r="CA306" s="120">
        <v>31</v>
      </c>
      <c r="CB306" s="120">
        <v>31</v>
      </c>
      <c r="CC306" s="120">
        <v>31</v>
      </c>
      <c r="CD306" s="120">
        <v>31</v>
      </c>
      <c r="CE306" s="119">
        <f>CD306</f>
        <v>31</v>
      </c>
      <c r="CF306" s="120">
        <v>30</v>
      </c>
      <c r="CG306" s="120">
        <v>30</v>
      </c>
      <c r="CH306" s="120">
        <v>30</v>
      </c>
      <c r="CI306" s="120">
        <v>31</v>
      </c>
      <c r="CJ306" s="119">
        <f>CI306</f>
        <v>31</v>
      </c>
      <c r="CK306" s="120">
        <v>31</v>
      </c>
      <c r="CL306" s="120">
        <v>31</v>
      </c>
      <c r="CM306" s="355">
        <v>31</v>
      </c>
      <c r="CN306" s="120">
        <v>32</v>
      </c>
      <c r="CO306" s="119">
        <f>CN306</f>
        <v>32</v>
      </c>
      <c r="CP306" s="236">
        <v>32</v>
      </c>
      <c r="CQ306" s="217">
        <v>32</v>
      </c>
      <c r="CR306" s="217">
        <v>32</v>
      </c>
      <c r="CS306" s="217">
        <v>33</v>
      </c>
      <c r="CT306" s="216">
        <f>CS306</f>
        <v>33</v>
      </c>
      <c r="CU306" s="217">
        <v>32</v>
      </c>
      <c r="CV306" s="217">
        <v>33</v>
      </c>
      <c r="CW306" s="217">
        <v>33</v>
      </c>
      <c r="CX306" s="217">
        <v>33</v>
      </c>
      <c r="CY306" s="216">
        <f>CX306</f>
        <v>33</v>
      </c>
      <c r="CZ306" s="217">
        <v>33</v>
      </c>
      <c r="DA306" s="217">
        <v>33</v>
      </c>
      <c r="DB306" s="217">
        <v>34</v>
      </c>
      <c r="DC306" s="217">
        <v>34</v>
      </c>
      <c r="DD306" s="216">
        <f>DC306</f>
        <v>34</v>
      </c>
      <c r="DE306" s="217">
        <v>33</v>
      </c>
      <c r="DF306" s="217">
        <v>33</v>
      </c>
      <c r="DG306" s="217"/>
      <c r="DH306" s="217"/>
      <c r="DI306" s="119"/>
      <c r="DJ306" s="120"/>
      <c r="DK306" s="120"/>
      <c r="DL306" s="120"/>
      <c r="DM306" s="120"/>
      <c r="DN306" s="119"/>
      <c r="DO306" s="120"/>
      <c r="DP306" s="120"/>
      <c r="DQ306" s="120"/>
      <c r="DR306" s="120"/>
      <c r="DS306" s="119"/>
    </row>
    <row r="307" hidden="1" outlineLevel="1" spans="2:123">
      <c r="B307" s="179" t="s">
        <v>406</v>
      </c>
      <c r="C307" s="119"/>
      <c r="D307" s="120"/>
      <c r="E307" s="120"/>
      <c r="F307" s="120"/>
      <c r="G307" s="120"/>
      <c r="H307" s="119"/>
      <c r="I307" s="120"/>
      <c r="J307" s="120"/>
      <c r="K307" s="120"/>
      <c r="L307" s="120"/>
      <c r="M307" s="119"/>
      <c r="N307" s="120"/>
      <c r="O307" s="120"/>
      <c r="P307" s="120"/>
      <c r="Q307" s="187">
        <v>0</v>
      </c>
      <c r="R307" s="215">
        <f t="shared" ref="R307:R325" si="1398">Q307</f>
        <v>0</v>
      </c>
      <c r="S307" s="187">
        <v>0</v>
      </c>
      <c r="T307" s="187">
        <v>0</v>
      </c>
      <c r="U307" s="187">
        <v>0</v>
      </c>
      <c r="V307" s="187">
        <v>0</v>
      </c>
      <c r="W307" s="215">
        <f t="shared" ref="W307:W325" si="1399">V307</f>
        <v>0</v>
      </c>
      <c r="X307" s="187">
        <v>0</v>
      </c>
      <c r="Y307" s="187">
        <v>0</v>
      </c>
      <c r="Z307" s="187">
        <v>0</v>
      </c>
      <c r="AA307" s="187">
        <v>0</v>
      </c>
      <c r="AB307" s="215">
        <f t="shared" ref="AB307:AB325" si="1400">AA307</f>
        <v>0</v>
      </c>
      <c r="AC307" s="187">
        <v>0</v>
      </c>
      <c r="AD307" s="187">
        <v>0</v>
      </c>
      <c r="AE307" s="187">
        <v>0</v>
      </c>
      <c r="AF307" s="187">
        <v>0</v>
      </c>
      <c r="AG307" s="119">
        <f t="shared" ref="AG307:AG325" si="1401">AF307</f>
        <v>0</v>
      </c>
      <c r="AH307" s="187">
        <v>0</v>
      </c>
      <c r="AI307" s="187">
        <v>0</v>
      </c>
      <c r="AJ307" s="354">
        <v>0</v>
      </c>
      <c r="AK307" s="354">
        <v>1</v>
      </c>
      <c r="AL307" s="119">
        <f t="shared" ref="AL307:AL325" si="1402">AK307</f>
        <v>1</v>
      </c>
      <c r="AM307" s="354">
        <v>1</v>
      </c>
      <c r="AN307" s="354">
        <v>2</v>
      </c>
      <c r="AO307" s="354">
        <v>2</v>
      </c>
      <c r="AP307" s="354">
        <v>2</v>
      </c>
      <c r="AQ307" s="119">
        <f t="shared" ref="AQ307:AQ325" si="1403">AP307</f>
        <v>2</v>
      </c>
      <c r="AR307" s="354">
        <v>2</v>
      </c>
      <c r="AS307" s="354">
        <v>2</v>
      </c>
      <c r="AT307" s="354">
        <v>3</v>
      </c>
      <c r="AU307" s="354">
        <v>4</v>
      </c>
      <c r="AV307" s="119">
        <f t="shared" ref="AV307:AV325" si="1404">AU307</f>
        <v>4</v>
      </c>
      <c r="AW307" s="354">
        <v>4</v>
      </c>
      <c r="AX307" s="354">
        <v>5</v>
      </c>
      <c r="AY307" s="354">
        <v>5</v>
      </c>
      <c r="AZ307" s="354">
        <v>5</v>
      </c>
      <c r="BA307" s="119">
        <f t="shared" ref="BA307:BA325" si="1405">AZ307</f>
        <v>5</v>
      </c>
      <c r="BB307" s="354">
        <v>5</v>
      </c>
      <c r="BC307" s="354">
        <v>5</v>
      </c>
      <c r="BD307" s="354">
        <v>5</v>
      </c>
      <c r="BE307" s="354">
        <v>5</v>
      </c>
      <c r="BF307" s="119">
        <f t="shared" ref="BF307:BF325" si="1406">BE307</f>
        <v>5</v>
      </c>
      <c r="BG307" s="354">
        <v>5</v>
      </c>
      <c r="BH307" s="354">
        <v>5</v>
      </c>
      <c r="BI307" s="354">
        <v>5</v>
      </c>
      <c r="BJ307" s="354">
        <v>5</v>
      </c>
      <c r="BK307" s="119">
        <f t="shared" ref="BK307:BK325" si="1407">BJ307</f>
        <v>5</v>
      </c>
      <c r="BL307" s="354">
        <v>5</v>
      </c>
      <c r="BM307" s="354">
        <v>6</v>
      </c>
      <c r="BN307" s="354">
        <v>6</v>
      </c>
      <c r="BO307" s="120">
        <v>9</v>
      </c>
      <c r="BP307" s="119">
        <f t="shared" ref="BP307:BP325" si="1408">BO307</f>
        <v>9</v>
      </c>
      <c r="BQ307" s="120">
        <v>6</v>
      </c>
      <c r="BR307" s="120">
        <v>6</v>
      </c>
      <c r="BS307" s="120">
        <v>6</v>
      </c>
      <c r="BT307" s="120">
        <v>7</v>
      </c>
      <c r="BU307" s="119">
        <f t="shared" ref="BU307:BU325" si="1409">BT307</f>
        <v>7</v>
      </c>
      <c r="BV307" s="120">
        <v>7</v>
      </c>
      <c r="BW307" s="120">
        <v>7</v>
      </c>
      <c r="BX307" s="120">
        <v>7</v>
      </c>
      <c r="BY307" s="120">
        <v>7</v>
      </c>
      <c r="BZ307" s="119">
        <f t="shared" ref="BZ307:BZ325" si="1410">BY307</f>
        <v>7</v>
      </c>
      <c r="CA307" s="120">
        <v>7</v>
      </c>
      <c r="CB307" s="120">
        <v>7</v>
      </c>
      <c r="CC307" s="120">
        <v>7</v>
      </c>
      <c r="CD307" s="120">
        <v>7</v>
      </c>
      <c r="CE307" s="119">
        <f t="shared" ref="CE307:CE325" si="1411">CD307</f>
        <v>7</v>
      </c>
      <c r="CF307" s="120">
        <v>7</v>
      </c>
      <c r="CG307" s="120">
        <v>7</v>
      </c>
      <c r="CH307" s="120">
        <v>7</v>
      </c>
      <c r="CI307" s="120">
        <v>7</v>
      </c>
      <c r="CJ307" s="119">
        <f t="shared" ref="CJ307:CJ325" si="1412">CI307</f>
        <v>7</v>
      </c>
      <c r="CK307" s="120">
        <v>7</v>
      </c>
      <c r="CL307" s="120">
        <v>8</v>
      </c>
      <c r="CM307" s="355">
        <v>8</v>
      </c>
      <c r="CN307" s="120">
        <v>8</v>
      </c>
      <c r="CO307" s="119">
        <f t="shared" ref="CO307:CO325" si="1413">CN307</f>
        <v>8</v>
      </c>
      <c r="CP307" s="236">
        <v>8</v>
      </c>
      <c r="CQ307" s="217">
        <v>8</v>
      </c>
      <c r="CR307" s="217">
        <v>8</v>
      </c>
      <c r="CS307" s="217">
        <v>8</v>
      </c>
      <c r="CT307" s="216">
        <f t="shared" ref="CT307:CT325" si="1414">CS307</f>
        <v>8</v>
      </c>
      <c r="CU307" s="217">
        <v>8</v>
      </c>
      <c r="CV307" s="217">
        <v>8</v>
      </c>
      <c r="CW307" s="217">
        <v>8</v>
      </c>
      <c r="CX307" s="217">
        <v>8</v>
      </c>
      <c r="CY307" s="216">
        <f t="shared" ref="CY307:CY325" si="1415">CX307</f>
        <v>8</v>
      </c>
      <c r="CZ307" s="217">
        <v>8</v>
      </c>
      <c r="DA307" s="217">
        <v>8</v>
      </c>
      <c r="DB307" s="217">
        <v>8</v>
      </c>
      <c r="DC307" s="217">
        <v>8</v>
      </c>
      <c r="DD307" s="216">
        <f t="shared" ref="DD307:DD325" si="1416">DC307</f>
        <v>8</v>
      </c>
      <c r="DE307" s="217">
        <v>8</v>
      </c>
      <c r="DF307" s="217">
        <v>8</v>
      </c>
      <c r="DG307" s="217"/>
      <c r="DH307" s="217"/>
      <c r="DI307" s="119"/>
      <c r="DJ307" s="120"/>
      <c r="DK307" s="120"/>
      <c r="DL307" s="120"/>
      <c r="DM307" s="120"/>
      <c r="DN307" s="119"/>
      <c r="DO307" s="120"/>
      <c r="DP307" s="120"/>
      <c r="DQ307" s="120"/>
      <c r="DR307" s="120"/>
      <c r="DS307" s="119"/>
    </row>
    <row r="308" hidden="1" outlineLevel="1" spans="2:123">
      <c r="B308" s="179" t="s">
        <v>407</v>
      </c>
      <c r="C308" s="119"/>
      <c r="D308" s="120"/>
      <c r="E308" s="120"/>
      <c r="F308" s="120"/>
      <c r="G308" s="120"/>
      <c r="H308" s="119"/>
      <c r="I308" s="120"/>
      <c r="J308" s="120"/>
      <c r="K308" s="120"/>
      <c r="L308" s="120"/>
      <c r="M308" s="119"/>
      <c r="N308" s="120"/>
      <c r="O308" s="120"/>
      <c r="P308" s="120"/>
      <c r="Q308" s="187">
        <v>0</v>
      </c>
      <c r="R308" s="215">
        <f t="shared" si="1398"/>
        <v>0</v>
      </c>
      <c r="S308" s="187">
        <v>0</v>
      </c>
      <c r="T308" s="187">
        <v>0</v>
      </c>
      <c r="U308" s="187">
        <v>0</v>
      </c>
      <c r="V308" s="187">
        <v>0</v>
      </c>
      <c r="W308" s="215">
        <f t="shared" si="1399"/>
        <v>0</v>
      </c>
      <c r="X308" s="187">
        <v>0</v>
      </c>
      <c r="Y308" s="187">
        <v>0</v>
      </c>
      <c r="Z308" s="187">
        <v>0</v>
      </c>
      <c r="AA308" s="187">
        <v>0</v>
      </c>
      <c r="AB308" s="215">
        <f t="shared" si="1400"/>
        <v>0</v>
      </c>
      <c r="AC308" s="187">
        <v>0</v>
      </c>
      <c r="AD308" s="187">
        <v>0</v>
      </c>
      <c r="AE308" s="187">
        <v>0</v>
      </c>
      <c r="AF308" s="187">
        <v>0</v>
      </c>
      <c r="AG308" s="119">
        <f t="shared" si="1401"/>
        <v>0</v>
      </c>
      <c r="AH308" s="187">
        <v>0</v>
      </c>
      <c r="AI308" s="187">
        <v>0</v>
      </c>
      <c r="AJ308" s="354">
        <v>0</v>
      </c>
      <c r="AK308" s="354">
        <v>0</v>
      </c>
      <c r="AL308" s="119">
        <f t="shared" si="1402"/>
        <v>0</v>
      </c>
      <c r="AM308" s="354">
        <v>0</v>
      </c>
      <c r="AN308" s="354">
        <v>0</v>
      </c>
      <c r="AO308" s="354">
        <v>0</v>
      </c>
      <c r="AP308" s="354">
        <v>0</v>
      </c>
      <c r="AQ308" s="119">
        <f t="shared" si="1403"/>
        <v>0</v>
      </c>
      <c r="AR308" s="354">
        <v>0</v>
      </c>
      <c r="AS308" s="354">
        <v>0</v>
      </c>
      <c r="AT308" s="354">
        <v>0</v>
      </c>
      <c r="AU308" s="354">
        <v>0</v>
      </c>
      <c r="AV308" s="119">
        <f t="shared" si="1404"/>
        <v>0</v>
      </c>
      <c r="AW308" s="354">
        <v>1</v>
      </c>
      <c r="AX308" s="354">
        <v>1</v>
      </c>
      <c r="AY308" s="354">
        <v>1</v>
      </c>
      <c r="AZ308" s="354">
        <v>2</v>
      </c>
      <c r="BA308" s="119">
        <f t="shared" si="1405"/>
        <v>2</v>
      </c>
      <c r="BB308" s="354">
        <v>2</v>
      </c>
      <c r="BC308" s="354">
        <v>4</v>
      </c>
      <c r="BD308" s="354">
        <v>5</v>
      </c>
      <c r="BE308" s="354">
        <v>6</v>
      </c>
      <c r="BF308" s="119">
        <f t="shared" si="1406"/>
        <v>6</v>
      </c>
      <c r="BG308" s="354">
        <v>6</v>
      </c>
      <c r="BH308" s="354">
        <v>6</v>
      </c>
      <c r="BI308" s="354">
        <v>8</v>
      </c>
      <c r="BJ308" s="354">
        <v>9</v>
      </c>
      <c r="BK308" s="119">
        <f t="shared" si="1407"/>
        <v>9</v>
      </c>
      <c r="BL308" s="354">
        <v>9</v>
      </c>
      <c r="BM308" s="354">
        <v>9</v>
      </c>
      <c r="BN308" s="354">
        <v>9</v>
      </c>
      <c r="BO308" s="120">
        <v>3</v>
      </c>
      <c r="BP308" s="119">
        <f t="shared" si="1408"/>
        <v>3</v>
      </c>
      <c r="BQ308" s="120">
        <v>10</v>
      </c>
      <c r="BR308" s="120">
        <v>11</v>
      </c>
      <c r="BS308" s="120">
        <v>12</v>
      </c>
      <c r="BT308" s="120">
        <v>12</v>
      </c>
      <c r="BU308" s="119">
        <f t="shared" si="1409"/>
        <v>12</v>
      </c>
      <c r="BV308" s="120">
        <v>12</v>
      </c>
      <c r="BW308" s="120">
        <v>13</v>
      </c>
      <c r="BX308" s="120">
        <v>14</v>
      </c>
      <c r="BY308" s="120">
        <v>14</v>
      </c>
      <c r="BZ308" s="119">
        <f t="shared" si="1410"/>
        <v>14</v>
      </c>
      <c r="CA308" s="120">
        <v>14</v>
      </c>
      <c r="CB308" s="120">
        <v>15</v>
      </c>
      <c r="CC308" s="120">
        <v>16</v>
      </c>
      <c r="CD308" s="120">
        <v>16</v>
      </c>
      <c r="CE308" s="119">
        <f t="shared" si="1411"/>
        <v>16</v>
      </c>
      <c r="CF308" s="120">
        <v>16</v>
      </c>
      <c r="CG308" s="120">
        <v>16</v>
      </c>
      <c r="CH308" s="120">
        <v>17</v>
      </c>
      <c r="CI308" s="120">
        <v>17</v>
      </c>
      <c r="CJ308" s="119">
        <f t="shared" si="1412"/>
        <v>17</v>
      </c>
      <c r="CK308" s="120">
        <v>18</v>
      </c>
      <c r="CL308" s="120">
        <v>19</v>
      </c>
      <c r="CM308" s="355">
        <v>20</v>
      </c>
      <c r="CN308" s="120">
        <v>20</v>
      </c>
      <c r="CO308" s="119">
        <f t="shared" si="1413"/>
        <v>20</v>
      </c>
      <c r="CP308" s="236">
        <v>20</v>
      </c>
      <c r="CQ308" s="217">
        <v>20</v>
      </c>
      <c r="CR308" s="217">
        <v>20</v>
      </c>
      <c r="CS308" s="217">
        <v>20</v>
      </c>
      <c r="CT308" s="216">
        <f t="shared" si="1414"/>
        <v>20</v>
      </c>
      <c r="CU308" s="217">
        <v>19</v>
      </c>
      <c r="CV308" s="217">
        <v>19</v>
      </c>
      <c r="CW308" s="217">
        <v>19</v>
      </c>
      <c r="CX308" s="217">
        <v>19</v>
      </c>
      <c r="CY308" s="216">
        <f t="shared" si="1415"/>
        <v>19</v>
      </c>
      <c r="CZ308" s="217">
        <v>19</v>
      </c>
      <c r="DA308" s="217">
        <v>20</v>
      </c>
      <c r="DB308" s="217">
        <v>20</v>
      </c>
      <c r="DC308" s="217">
        <v>20</v>
      </c>
      <c r="DD308" s="216">
        <f t="shared" si="1416"/>
        <v>20</v>
      </c>
      <c r="DE308" s="217">
        <v>21</v>
      </c>
      <c r="DF308" s="217">
        <v>22</v>
      </c>
      <c r="DG308" s="217"/>
      <c r="DH308" s="217"/>
      <c r="DI308" s="119"/>
      <c r="DJ308" s="120"/>
      <c r="DK308" s="120"/>
      <c r="DL308" s="120"/>
      <c r="DM308" s="120"/>
      <c r="DN308" s="119"/>
      <c r="DO308" s="120"/>
      <c r="DP308" s="120"/>
      <c r="DQ308" s="120"/>
      <c r="DR308" s="120"/>
      <c r="DS308" s="119"/>
    </row>
    <row r="309" hidden="1" outlineLevel="1" spans="2:123">
      <c r="B309" s="179" t="s">
        <v>408</v>
      </c>
      <c r="C309" s="119"/>
      <c r="D309" s="120"/>
      <c r="E309" s="120"/>
      <c r="F309" s="120"/>
      <c r="G309" s="120"/>
      <c r="H309" s="119"/>
      <c r="I309" s="120"/>
      <c r="J309" s="120"/>
      <c r="K309" s="120"/>
      <c r="L309" s="120"/>
      <c r="M309" s="119"/>
      <c r="N309" s="120"/>
      <c r="O309" s="120"/>
      <c r="P309" s="120"/>
      <c r="Q309" s="187">
        <v>0</v>
      </c>
      <c r="R309" s="215">
        <f t="shared" si="1398"/>
        <v>0</v>
      </c>
      <c r="S309" s="187">
        <v>0</v>
      </c>
      <c r="T309" s="187">
        <v>0</v>
      </c>
      <c r="U309" s="187">
        <v>0</v>
      </c>
      <c r="V309" s="187">
        <v>0</v>
      </c>
      <c r="W309" s="215">
        <f t="shared" si="1399"/>
        <v>0</v>
      </c>
      <c r="X309" s="187">
        <v>0</v>
      </c>
      <c r="Y309" s="187">
        <v>0</v>
      </c>
      <c r="Z309" s="187">
        <v>0</v>
      </c>
      <c r="AA309" s="187">
        <v>0</v>
      </c>
      <c r="AB309" s="215">
        <f t="shared" si="1400"/>
        <v>0</v>
      </c>
      <c r="AC309" s="187">
        <v>0</v>
      </c>
      <c r="AD309" s="187">
        <v>0</v>
      </c>
      <c r="AE309" s="187">
        <v>0</v>
      </c>
      <c r="AF309" s="187">
        <v>0</v>
      </c>
      <c r="AG309" s="119">
        <f t="shared" si="1401"/>
        <v>0</v>
      </c>
      <c r="AH309" s="187">
        <v>0</v>
      </c>
      <c r="AI309" s="187">
        <v>0</v>
      </c>
      <c r="AJ309" s="354">
        <v>0</v>
      </c>
      <c r="AK309" s="354">
        <v>0</v>
      </c>
      <c r="AL309" s="119">
        <f t="shared" si="1402"/>
        <v>0</v>
      </c>
      <c r="AM309" s="354">
        <v>0</v>
      </c>
      <c r="AN309" s="354">
        <v>0</v>
      </c>
      <c r="AO309" s="354">
        <v>0</v>
      </c>
      <c r="AP309" s="354">
        <v>0</v>
      </c>
      <c r="AQ309" s="119">
        <f t="shared" si="1403"/>
        <v>0</v>
      </c>
      <c r="AR309" s="354">
        <v>0</v>
      </c>
      <c r="AS309" s="354">
        <v>0</v>
      </c>
      <c r="AT309" s="354">
        <v>0</v>
      </c>
      <c r="AU309" s="354">
        <v>0</v>
      </c>
      <c r="AV309" s="119">
        <f t="shared" si="1404"/>
        <v>0</v>
      </c>
      <c r="AW309" s="354">
        <v>0</v>
      </c>
      <c r="AX309" s="354">
        <v>0</v>
      </c>
      <c r="AY309" s="354">
        <v>0</v>
      </c>
      <c r="AZ309" s="354">
        <v>1</v>
      </c>
      <c r="BA309" s="119">
        <f t="shared" si="1405"/>
        <v>1</v>
      </c>
      <c r="BB309" s="354">
        <v>1</v>
      </c>
      <c r="BC309" s="354">
        <v>2</v>
      </c>
      <c r="BD309" s="354">
        <v>2</v>
      </c>
      <c r="BE309" s="354">
        <v>2</v>
      </c>
      <c r="BF309" s="119">
        <f t="shared" si="1406"/>
        <v>2</v>
      </c>
      <c r="BG309" s="354">
        <v>3</v>
      </c>
      <c r="BH309" s="354">
        <v>3</v>
      </c>
      <c r="BI309" s="354">
        <v>3</v>
      </c>
      <c r="BJ309" s="354">
        <v>3</v>
      </c>
      <c r="BK309" s="119">
        <f t="shared" si="1407"/>
        <v>3</v>
      </c>
      <c r="BL309" s="354">
        <v>3</v>
      </c>
      <c r="BM309" s="354">
        <v>3</v>
      </c>
      <c r="BN309" s="354">
        <v>3</v>
      </c>
      <c r="BO309" s="120">
        <v>6</v>
      </c>
      <c r="BP309" s="119">
        <f t="shared" si="1408"/>
        <v>6</v>
      </c>
      <c r="BQ309" s="120">
        <v>3</v>
      </c>
      <c r="BR309" s="120">
        <v>3</v>
      </c>
      <c r="BS309" s="120">
        <v>3</v>
      </c>
      <c r="BT309" s="120">
        <v>3</v>
      </c>
      <c r="BU309" s="119">
        <f t="shared" si="1409"/>
        <v>3</v>
      </c>
      <c r="BV309" s="120">
        <v>3</v>
      </c>
      <c r="BW309" s="120">
        <v>4</v>
      </c>
      <c r="BX309" s="120">
        <v>4</v>
      </c>
      <c r="BY309" s="120">
        <v>4</v>
      </c>
      <c r="BZ309" s="119">
        <f t="shared" si="1410"/>
        <v>4</v>
      </c>
      <c r="CA309" s="120">
        <v>4</v>
      </c>
      <c r="CB309" s="120">
        <v>4</v>
      </c>
      <c r="CC309" s="120">
        <v>4</v>
      </c>
      <c r="CD309" s="120">
        <v>4</v>
      </c>
      <c r="CE309" s="119">
        <f t="shared" si="1411"/>
        <v>4</v>
      </c>
      <c r="CF309" s="120">
        <v>4</v>
      </c>
      <c r="CG309" s="120">
        <v>4</v>
      </c>
      <c r="CH309" s="120">
        <v>5</v>
      </c>
      <c r="CI309" s="120">
        <v>6</v>
      </c>
      <c r="CJ309" s="119">
        <f t="shared" si="1412"/>
        <v>6</v>
      </c>
      <c r="CK309" s="120">
        <v>6</v>
      </c>
      <c r="CL309" s="120">
        <v>7</v>
      </c>
      <c r="CM309" s="355">
        <v>8</v>
      </c>
      <c r="CN309" s="120">
        <v>8</v>
      </c>
      <c r="CO309" s="119">
        <f t="shared" si="1413"/>
        <v>8</v>
      </c>
      <c r="CP309" s="236">
        <v>7</v>
      </c>
      <c r="CQ309" s="217">
        <v>7</v>
      </c>
      <c r="CR309" s="217">
        <v>7</v>
      </c>
      <c r="CS309" s="217">
        <v>7</v>
      </c>
      <c r="CT309" s="216">
        <f t="shared" si="1414"/>
        <v>7</v>
      </c>
      <c r="CU309" s="217">
        <v>7</v>
      </c>
      <c r="CV309" s="217">
        <v>7</v>
      </c>
      <c r="CW309" s="217">
        <v>7</v>
      </c>
      <c r="CX309" s="217">
        <v>7</v>
      </c>
      <c r="CY309" s="216">
        <f t="shared" si="1415"/>
        <v>7</v>
      </c>
      <c r="CZ309" s="217">
        <v>7</v>
      </c>
      <c r="DA309" s="217">
        <v>9</v>
      </c>
      <c r="DB309" s="217">
        <v>9</v>
      </c>
      <c r="DC309" s="217">
        <v>9</v>
      </c>
      <c r="DD309" s="216">
        <f t="shared" si="1416"/>
        <v>9</v>
      </c>
      <c r="DE309" s="217">
        <v>9</v>
      </c>
      <c r="DF309" s="217">
        <v>9</v>
      </c>
      <c r="DG309" s="217"/>
      <c r="DH309" s="217"/>
      <c r="DI309" s="119"/>
      <c r="DJ309" s="120"/>
      <c r="DK309" s="120"/>
      <c r="DL309" s="120"/>
      <c r="DM309" s="120"/>
      <c r="DN309" s="119"/>
      <c r="DO309" s="120"/>
      <c r="DP309" s="120"/>
      <c r="DQ309" s="120"/>
      <c r="DR309" s="120"/>
      <c r="DS309" s="119"/>
    </row>
    <row r="310" hidden="1" outlineLevel="1" spans="2:123">
      <c r="B310" s="179" t="s">
        <v>409</v>
      </c>
      <c r="C310" s="119"/>
      <c r="D310" s="120"/>
      <c r="E310" s="120"/>
      <c r="F310" s="120"/>
      <c r="G310" s="120"/>
      <c r="H310" s="119"/>
      <c r="I310" s="120"/>
      <c r="J310" s="120"/>
      <c r="K310" s="120"/>
      <c r="L310" s="120"/>
      <c r="M310" s="119"/>
      <c r="N310" s="120"/>
      <c r="O310" s="120"/>
      <c r="P310" s="120"/>
      <c r="Q310" s="187">
        <v>4</v>
      </c>
      <c r="R310" s="215">
        <f t="shared" si="1398"/>
        <v>4</v>
      </c>
      <c r="S310" s="187">
        <v>4</v>
      </c>
      <c r="T310" s="187">
        <v>1</v>
      </c>
      <c r="U310" s="187">
        <v>0</v>
      </c>
      <c r="V310" s="187">
        <v>0</v>
      </c>
      <c r="W310" s="215">
        <f t="shared" si="1399"/>
        <v>0</v>
      </c>
      <c r="X310" s="187">
        <v>0</v>
      </c>
      <c r="Y310" s="187">
        <v>0</v>
      </c>
      <c r="Z310" s="187">
        <v>0</v>
      </c>
      <c r="AA310" s="187">
        <v>0</v>
      </c>
      <c r="AB310" s="215">
        <f t="shared" si="1400"/>
        <v>0</v>
      </c>
      <c r="AC310" s="187">
        <v>0</v>
      </c>
      <c r="AD310" s="187">
        <v>0</v>
      </c>
      <c r="AE310" s="187">
        <v>0</v>
      </c>
      <c r="AF310" s="187">
        <v>0</v>
      </c>
      <c r="AG310" s="119">
        <f t="shared" si="1401"/>
        <v>0</v>
      </c>
      <c r="AH310" s="187">
        <v>0</v>
      </c>
      <c r="AI310" s="187">
        <v>0</v>
      </c>
      <c r="AJ310" s="354">
        <v>0</v>
      </c>
      <c r="AK310" s="354">
        <v>0</v>
      </c>
      <c r="AL310" s="119">
        <f t="shared" si="1402"/>
        <v>0</v>
      </c>
      <c r="AM310" s="354">
        <v>0</v>
      </c>
      <c r="AN310" s="354">
        <v>0</v>
      </c>
      <c r="AO310" s="354">
        <v>0</v>
      </c>
      <c r="AP310" s="354">
        <v>0</v>
      </c>
      <c r="AQ310" s="119">
        <f t="shared" si="1403"/>
        <v>0</v>
      </c>
      <c r="AR310" s="354">
        <v>0</v>
      </c>
      <c r="AS310" s="354">
        <v>0</v>
      </c>
      <c r="AT310" s="354">
        <v>0</v>
      </c>
      <c r="AU310" s="354">
        <v>0</v>
      </c>
      <c r="AV310" s="119">
        <f t="shared" si="1404"/>
        <v>0</v>
      </c>
      <c r="AW310" s="354">
        <v>0</v>
      </c>
      <c r="AX310" s="354">
        <v>0</v>
      </c>
      <c r="AY310" s="354">
        <v>0</v>
      </c>
      <c r="AZ310" s="354">
        <v>0</v>
      </c>
      <c r="BA310" s="119">
        <f t="shared" si="1405"/>
        <v>0</v>
      </c>
      <c r="BB310" s="354">
        <v>0</v>
      </c>
      <c r="BC310" s="354">
        <v>0</v>
      </c>
      <c r="BD310" s="354">
        <v>0</v>
      </c>
      <c r="BE310" s="354">
        <v>0</v>
      </c>
      <c r="BF310" s="119">
        <f t="shared" si="1406"/>
        <v>0</v>
      </c>
      <c r="BG310" s="354">
        <v>0</v>
      </c>
      <c r="BH310" s="354">
        <v>0</v>
      </c>
      <c r="BI310" s="354">
        <v>0</v>
      </c>
      <c r="BJ310" s="354">
        <v>0</v>
      </c>
      <c r="BK310" s="119">
        <f t="shared" si="1407"/>
        <v>0</v>
      </c>
      <c r="BL310" s="354">
        <v>1</v>
      </c>
      <c r="BM310" s="354">
        <v>1</v>
      </c>
      <c r="BN310" s="354">
        <v>1</v>
      </c>
      <c r="BO310" s="120">
        <v>2</v>
      </c>
      <c r="BP310" s="119">
        <f t="shared" si="1408"/>
        <v>2</v>
      </c>
      <c r="BQ310" s="120">
        <v>4</v>
      </c>
      <c r="BR310" s="120">
        <v>4</v>
      </c>
      <c r="BS310" s="120">
        <v>4</v>
      </c>
      <c r="BT310" s="120">
        <v>5</v>
      </c>
      <c r="BU310" s="119">
        <f t="shared" si="1409"/>
        <v>5</v>
      </c>
      <c r="BV310" s="120">
        <v>6</v>
      </c>
      <c r="BW310" s="120">
        <v>6</v>
      </c>
      <c r="BX310" s="120">
        <v>7</v>
      </c>
      <c r="BY310" s="120">
        <v>7</v>
      </c>
      <c r="BZ310" s="119">
        <f t="shared" si="1410"/>
        <v>7</v>
      </c>
      <c r="CA310" s="120">
        <v>7</v>
      </c>
      <c r="CB310" s="120">
        <v>8</v>
      </c>
      <c r="CC310" s="120">
        <v>7</v>
      </c>
      <c r="CD310" s="120">
        <v>6</v>
      </c>
      <c r="CE310" s="119">
        <f t="shared" si="1411"/>
        <v>6</v>
      </c>
      <c r="CF310" s="120">
        <v>6</v>
      </c>
      <c r="CG310" s="120">
        <v>6</v>
      </c>
      <c r="CH310" s="120">
        <v>6</v>
      </c>
      <c r="CI310" s="120">
        <v>6</v>
      </c>
      <c r="CJ310" s="119">
        <f t="shared" si="1412"/>
        <v>6</v>
      </c>
      <c r="CK310" s="120">
        <v>6</v>
      </c>
      <c r="CL310" s="120">
        <v>6</v>
      </c>
      <c r="CM310" s="355">
        <v>6</v>
      </c>
      <c r="CN310" s="120">
        <v>7</v>
      </c>
      <c r="CO310" s="119">
        <f t="shared" si="1413"/>
        <v>7</v>
      </c>
      <c r="CP310" s="236">
        <v>7</v>
      </c>
      <c r="CQ310" s="217">
        <v>7</v>
      </c>
      <c r="CR310" s="217">
        <v>7</v>
      </c>
      <c r="CS310" s="217">
        <v>8</v>
      </c>
      <c r="CT310" s="216">
        <f t="shared" si="1414"/>
        <v>8</v>
      </c>
      <c r="CU310" s="217">
        <v>8</v>
      </c>
      <c r="CV310" s="217">
        <v>8</v>
      </c>
      <c r="CW310" s="217">
        <v>9</v>
      </c>
      <c r="CX310" s="217">
        <v>10</v>
      </c>
      <c r="CY310" s="216">
        <f t="shared" si="1415"/>
        <v>10</v>
      </c>
      <c r="CZ310" s="217">
        <v>10</v>
      </c>
      <c r="DA310" s="217">
        <v>10</v>
      </c>
      <c r="DB310" s="217">
        <v>10</v>
      </c>
      <c r="DC310" s="217">
        <v>10</v>
      </c>
      <c r="DD310" s="216">
        <f t="shared" si="1416"/>
        <v>10</v>
      </c>
      <c r="DE310" s="217">
        <v>10</v>
      </c>
      <c r="DF310" s="217">
        <v>10</v>
      </c>
      <c r="DG310" s="217"/>
      <c r="DH310" s="217"/>
      <c r="DI310" s="119"/>
      <c r="DJ310" s="120"/>
      <c r="DK310" s="120"/>
      <c r="DL310" s="120"/>
      <c r="DM310" s="120"/>
      <c r="DN310" s="119"/>
      <c r="DO310" s="120"/>
      <c r="DP310" s="120"/>
      <c r="DQ310" s="120"/>
      <c r="DR310" s="120"/>
      <c r="DS310" s="119"/>
    </row>
    <row r="311" hidden="1" outlineLevel="1" spans="2:123">
      <c r="B311" s="179" t="s">
        <v>410</v>
      </c>
      <c r="C311" s="119"/>
      <c r="D311" s="120"/>
      <c r="E311" s="120"/>
      <c r="F311" s="120"/>
      <c r="G311" s="120"/>
      <c r="H311" s="119"/>
      <c r="I311" s="120"/>
      <c r="J311" s="120"/>
      <c r="K311" s="120"/>
      <c r="L311" s="120"/>
      <c r="M311" s="119"/>
      <c r="N311" s="120"/>
      <c r="O311" s="120"/>
      <c r="P311" s="120"/>
      <c r="Q311" s="187">
        <v>0</v>
      </c>
      <c r="R311" s="215">
        <f t="shared" si="1398"/>
        <v>0</v>
      </c>
      <c r="S311" s="187">
        <v>0</v>
      </c>
      <c r="T311" s="187">
        <v>0</v>
      </c>
      <c r="U311" s="187">
        <v>0</v>
      </c>
      <c r="V311" s="187">
        <v>0</v>
      </c>
      <c r="W311" s="215">
        <f t="shared" si="1399"/>
        <v>0</v>
      </c>
      <c r="X311" s="187">
        <v>0</v>
      </c>
      <c r="Y311" s="187">
        <v>0</v>
      </c>
      <c r="Z311" s="187">
        <v>0</v>
      </c>
      <c r="AA311" s="187">
        <v>0</v>
      </c>
      <c r="AB311" s="215">
        <f t="shared" si="1400"/>
        <v>0</v>
      </c>
      <c r="AC311" s="187">
        <v>0</v>
      </c>
      <c r="AD311" s="187">
        <v>0</v>
      </c>
      <c r="AE311" s="187">
        <v>0</v>
      </c>
      <c r="AF311" s="187">
        <v>0</v>
      </c>
      <c r="AG311" s="119">
        <f t="shared" si="1401"/>
        <v>0</v>
      </c>
      <c r="AH311" s="187">
        <v>0</v>
      </c>
      <c r="AI311" s="187">
        <v>0</v>
      </c>
      <c r="AJ311" s="354">
        <v>0</v>
      </c>
      <c r="AK311" s="354">
        <v>0</v>
      </c>
      <c r="AL311" s="119">
        <f t="shared" si="1402"/>
        <v>0</v>
      </c>
      <c r="AM311" s="354">
        <v>0</v>
      </c>
      <c r="AN311" s="354">
        <v>0</v>
      </c>
      <c r="AO311" s="354">
        <v>0</v>
      </c>
      <c r="AP311" s="354">
        <v>0</v>
      </c>
      <c r="AQ311" s="119">
        <f t="shared" si="1403"/>
        <v>0</v>
      </c>
      <c r="AR311" s="354">
        <v>0</v>
      </c>
      <c r="AS311" s="354">
        <v>0</v>
      </c>
      <c r="AT311" s="354">
        <v>0</v>
      </c>
      <c r="AU311" s="354">
        <v>0</v>
      </c>
      <c r="AV311" s="119">
        <f t="shared" si="1404"/>
        <v>0</v>
      </c>
      <c r="AW311" s="354">
        <v>0</v>
      </c>
      <c r="AX311" s="354">
        <v>0</v>
      </c>
      <c r="AY311" s="354">
        <v>0</v>
      </c>
      <c r="AZ311" s="354">
        <v>0</v>
      </c>
      <c r="BA311" s="119">
        <f t="shared" si="1405"/>
        <v>0</v>
      </c>
      <c r="BB311" s="354">
        <v>0</v>
      </c>
      <c r="BC311" s="354">
        <v>1</v>
      </c>
      <c r="BD311" s="354">
        <v>2</v>
      </c>
      <c r="BE311" s="354">
        <v>2</v>
      </c>
      <c r="BF311" s="119">
        <f t="shared" si="1406"/>
        <v>2</v>
      </c>
      <c r="BG311" s="354">
        <v>2</v>
      </c>
      <c r="BH311" s="354">
        <v>2</v>
      </c>
      <c r="BI311" s="354">
        <v>2</v>
      </c>
      <c r="BJ311" s="354">
        <v>3</v>
      </c>
      <c r="BK311" s="119">
        <f t="shared" si="1407"/>
        <v>3</v>
      </c>
      <c r="BL311" s="354">
        <v>3</v>
      </c>
      <c r="BM311" s="354">
        <v>3</v>
      </c>
      <c r="BN311" s="354">
        <v>3</v>
      </c>
      <c r="BO311" s="120">
        <v>3</v>
      </c>
      <c r="BP311" s="119">
        <f t="shared" si="1408"/>
        <v>3</v>
      </c>
      <c r="BQ311" s="120">
        <v>3</v>
      </c>
      <c r="BR311" s="120">
        <v>3</v>
      </c>
      <c r="BS311" s="120">
        <v>3</v>
      </c>
      <c r="BT311" s="120">
        <v>6</v>
      </c>
      <c r="BU311" s="119">
        <f t="shared" si="1409"/>
        <v>6</v>
      </c>
      <c r="BV311" s="120">
        <v>6</v>
      </c>
      <c r="BW311" s="120">
        <v>7</v>
      </c>
      <c r="BX311" s="120">
        <v>8</v>
      </c>
      <c r="BY311" s="120">
        <v>8</v>
      </c>
      <c r="BZ311" s="119">
        <f t="shared" si="1410"/>
        <v>8</v>
      </c>
      <c r="CA311" s="120">
        <v>9</v>
      </c>
      <c r="CB311" s="120">
        <v>8</v>
      </c>
      <c r="CC311" s="120">
        <v>9</v>
      </c>
      <c r="CD311" s="120">
        <v>9</v>
      </c>
      <c r="CE311" s="119">
        <f t="shared" si="1411"/>
        <v>9</v>
      </c>
      <c r="CF311" s="120">
        <v>9</v>
      </c>
      <c r="CG311" s="120">
        <v>9</v>
      </c>
      <c r="CH311" s="120">
        <v>9</v>
      </c>
      <c r="CI311" s="120">
        <v>11</v>
      </c>
      <c r="CJ311" s="119">
        <f t="shared" si="1412"/>
        <v>11</v>
      </c>
      <c r="CK311" s="120">
        <v>11</v>
      </c>
      <c r="CL311" s="120">
        <v>11</v>
      </c>
      <c r="CM311" s="355">
        <v>11</v>
      </c>
      <c r="CN311" s="120">
        <v>11</v>
      </c>
      <c r="CO311" s="119">
        <f t="shared" si="1413"/>
        <v>11</v>
      </c>
      <c r="CP311" s="236">
        <v>11</v>
      </c>
      <c r="CQ311" s="217">
        <v>11</v>
      </c>
      <c r="CR311" s="217">
        <v>11</v>
      </c>
      <c r="CS311" s="217">
        <v>11</v>
      </c>
      <c r="CT311" s="216">
        <f t="shared" si="1414"/>
        <v>11</v>
      </c>
      <c r="CU311" s="217">
        <v>11</v>
      </c>
      <c r="CV311" s="217">
        <v>12</v>
      </c>
      <c r="CW311" s="217">
        <v>12</v>
      </c>
      <c r="CX311" s="217">
        <v>12</v>
      </c>
      <c r="CY311" s="216">
        <f t="shared" si="1415"/>
        <v>12</v>
      </c>
      <c r="CZ311" s="217">
        <v>12</v>
      </c>
      <c r="DA311" s="217">
        <v>12</v>
      </c>
      <c r="DB311" s="217">
        <f>11+2</f>
        <v>13</v>
      </c>
      <c r="DC311" s="217">
        <f>3+11</f>
        <v>14</v>
      </c>
      <c r="DD311" s="216">
        <f t="shared" si="1416"/>
        <v>14</v>
      </c>
      <c r="DE311" s="217">
        <f>11+3</f>
        <v>14</v>
      </c>
      <c r="DF311" s="217">
        <f>11+3</f>
        <v>14</v>
      </c>
      <c r="DG311" s="217"/>
      <c r="DH311" s="217"/>
      <c r="DI311" s="119"/>
      <c r="DJ311" s="120"/>
      <c r="DK311" s="120"/>
      <c r="DL311" s="120"/>
      <c r="DM311" s="120"/>
      <c r="DN311" s="119"/>
      <c r="DO311" s="120"/>
      <c r="DP311" s="120"/>
      <c r="DQ311" s="120"/>
      <c r="DR311" s="120"/>
      <c r="DS311" s="119"/>
    </row>
    <row r="312" hidden="1" outlineLevel="1" spans="2:123">
      <c r="B312" s="179" t="s">
        <v>411</v>
      </c>
      <c r="C312" s="119"/>
      <c r="D312" s="120"/>
      <c r="E312" s="120"/>
      <c r="F312" s="120"/>
      <c r="G312" s="120"/>
      <c r="H312" s="119"/>
      <c r="I312" s="120"/>
      <c r="J312" s="120"/>
      <c r="K312" s="120"/>
      <c r="L312" s="120"/>
      <c r="M312" s="119"/>
      <c r="N312" s="120"/>
      <c r="O312" s="120"/>
      <c r="P312" s="120"/>
      <c r="Q312" s="187">
        <v>0</v>
      </c>
      <c r="R312" s="215">
        <f t="shared" si="1398"/>
        <v>0</v>
      </c>
      <c r="S312" s="187">
        <v>0</v>
      </c>
      <c r="T312" s="187">
        <v>0</v>
      </c>
      <c r="U312" s="187">
        <v>0</v>
      </c>
      <c r="V312" s="187">
        <v>0</v>
      </c>
      <c r="W312" s="215">
        <f t="shared" si="1399"/>
        <v>0</v>
      </c>
      <c r="X312" s="187">
        <v>0</v>
      </c>
      <c r="Y312" s="187">
        <v>0</v>
      </c>
      <c r="Z312" s="187">
        <v>0</v>
      </c>
      <c r="AA312" s="187">
        <v>0</v>
      </c>
      <c r="AB312" s="215">
        <f t="shared" si="1400"/>
        <v>0</v>
      </c>
      <c r="AC312" s="187">
        <v>0</v>
      </c>
      <c r="AD312" s="187">
        <v>0</v>
      </c>
      <c r="AE312" s="187">
        <v>0</v>
      </c>
      <c r="AF312" s="187">
        <v>0</v>
      </c>
      <c r="AG312" s="119">
        <f t="shared" si="1401"/>
        <v>0</v>
      </c>
      <c r="AH312" s="187">
        <v>0</v>
      </c>
      <c r="AI312" s="187">
        <v>0</v>
      </c>
      <c r="AJ312" s="354">
        <v>0</v>
      </c>
      <c r="AK312" s="354">
        <v>0</v>
      </c>
      <c r="AL312" s="119">
        <f t="shared" si="1402"/>
        <v>0</v>
      </c>
      <c r="AM312" s="354">
        <v>0</v>
      </c>
      <c r="AN312" s="354">
        <v>0</v>
      </c>
      <c r="AO312" s="354">
        <v>0</v>
      </c>
      <c r="AP312" s="354">
        <v>0</v>
      </c>
      <c r="AQ312" s="119">
        <f t="shared" si="1403"/>
        <v>0</v>
      </c>
      <c r="AR312" s="354">
        <v>0</v>
      </c>
      <c r="AS312" s="354">
        <v>0</v>
      </c>
      <c r="AT312" s="354">
        <v>0</v>
      </c>
      <c r="AU312" s="354">
        <v>0</v>
      </c>
      <c r="AV312" s="119">
        <f t="shared" si="1404"/>
        <v>0</v>
      </c>
      <c r="AW312" s="354">
        <v>0</v>
      </c>
      <c r="AX312" s="354">
        <v>0</v>
      </c>
      <c r="AY312" s="354">
        <v>0</v>
      </c>
      <c r="AZ312" s="354">
        <v>0</v>
      </c>
      <c r="BA312" s="119">
        <f t="shared" si="1405"/>
        <v>0</v>
      </c>
      <c r="BB312" s="354">
        <v>0</v>
      </c>
      <c r="BC312" s="354">
        <v>0</v>
      </c>
      <c r="BD312" s="354">
        <v>1</v>
      </c>
      <c r="BE312" s="354">
        <v>1</v>
      </c>
      <c r="BF312" s="119">
        <f t="shared" si="1406"/>
        <v>1</v>
      </c>
      <c r="BG312" s="354">
        <v>1</v>
      </c>
      <c r="BH312" s="354">
        <v>1</v>
      </c>
      <c r="BI312" s="354">
        <v>1</v>
      </c>
      <c r="BJ312" s="354">
        <v>1</v>
      </c>
      <c r="BK312" s="119">
        <f t="shared" si="1407"/>
        <v>1</v>
      </c>
      <c r="BL312" s="354">
        <v>1</v>
      </c>
      <c r="BM312" s="354">
        <v>1</v>
      </c>
      <c r="BN312" s="354">
        <v>2</v>
      </c>
      <c r="BO312" s="120">
        <v>2</v>
      </c>
      <c r="BP312" s="119">
        <f t="shared" si="1408"/>
        <v>2</v>
      </c>
      <c r="BQ312" s="120">
        <v>3</v>
      </c>
      <c r="BR312" s="120">
        <v>4</v>
      </c>
      <c r="BS312" s="120">
        <v>4</v>
      </c>
      <c r="BT312" s="120">
        <v>5</v>
      </c>
      <c r="BU312" s="119">
        <f t="shared" si="1409"/>
        <v>5</v>
      </c>
      <c r="BV312" s="120">
        <v>5</v>
      </c>
      <c r="BW312" s="120">
        <v>5</v>
      </c>
      <c r="BX312" s="120">
        <v>6</v>
      </c>
      <c r="BY312" s="120">
        <v>6</v>
      </c>
      <c r="BZ312" s="119">
        <f t="shared" si="1410"/>
        <v>6</v>
      </c>
      <c r="CA312" s="120">
        <v>6</v>
      </c>
      <c r="CB312" s="120">
        <v>7</v>
      </c>
      <c r="CC312" s="120">
        <v>7</v>
      </c>
      <c r="CD312" s="120">
        <v>7</v>
      </c>
      <c r="CE312" s="119">
        <f t="shared" si="1411"/>
        <v>7</v>
      </c>
      <c r="CF312" s="120">
        <v>7</v>
      </c>
      <c r="CG312" s="120">
        <v>7</v>
      </c>
      <c r="CH312" s="120">
        <v>8</v>
      </c>
      <c r="CI312" s="120">
        <v>9</v>
      </c>
      <c r="CJ312" s="119">
        <f t="shared" si="1412"/>
        <v>9</v>
      </c>
      <c r="CK312" s="120">
        <v>8</v>
      </c>
      <c r="CL312" s="120">
        <v>9</v>
      </c>
      <c r="CM312" s="355">
        <v>10</v>
      </c>
      <c r="CN312" s="120">
        <v>10</v>
      </c>
      <c r="CO312" s="119">
        <f t="shared" si="1413"/>
        <v>10</v>
      </c>
      <c r="CP312" s="236">
        <v>9</v>
      </c>
      <c r="CQ312" s="217">
        <v>9</v>
      </c>
      <c r="CR312" s="217">
        <v>9</v>
      </c>
      <c r="CS312" s="217">
        <v>9</v>
      </c>
      <c r="CT312" s="216">
        <f t="shared" si="1414"/>
        <v>9</v>
      </c>
      <c r="CU312" s="217">
        <v>9</v>
      </c>
      <c r="CV312" s="217">
        <v>9</v>
      </c>
      <c r="CW312" s="217">
        <v>9</v>
      </c>
      <c r="CX312" s="217">
        <v>9</v>
      </c>
      <c r="CY312" s="216">
        <f t="shared" si="1415"/>
        <v>9</v>
      </c>
      <c r="CZ312" s="217">
        <v>9</v>
      </c>
      <c r="DA312" s="217">
        <v>9</v>
      </c>
      <c r="DB312" s="217">
        <v>9</v>
      </c>
      <c r="DC312" s="217">
        <v>9</v>
      </c>
      <c r="DD312" s="216">
        <f t="shared" si="1416"/>
        <v>9</v>
      </c>
      <c r="DE312" s="217">
        <v>9</v>
      </c>
      <c r="DF312" s="217">
        <v>9</v>
      </c>
      <c r="DG312" s="217"/>
      <c r="DH312" s="217"/>
      <c r="DI312" s="119"/>
      <c r="DJ312" s="120"/>
      <c r="DK312" s="120"/>
      <c r="DL312" s="120"/>
      <c r="DM312" s="120"/>
      <c r="DN312" s="119"/>
      <c r="DO312" s="120"/>
      <c r="DP312" s="120"/>
      <c r="DQ312" s="120"/>
      <c r="DR312" s="120"/>
      <c r="DS312" s="119"/>
    </row>
    <row r="313" hidden="1" outlineLevel="1" spans="2:123">
      <c r="B313" s="179" t="s">
        <v>412</v>
      </c>
      <c r="C313" s="119"/>
      <c r="D313" s="120"/>
      <c r="E313" s="120"/>
      <c r="F313" s="120"/>
      <c r="G313" s="120"/>
      <c r="H313" s="119"/>
      <c r="I313" s="120"/>
      <c r="J313" s="120"/>
      <c r="K313" s="120"/>
      <c r="L313" s="120"/>
      <c r="M313" s="119"/>
      <c r="N313" s="120"/>
      <c r="O313" s="120"/>
      <c r="P313" s="120"/>
      <c r="Q313" s="187">
        <v>0</v>
      </c>
      <c r="R313" s="215">
        <f t="shared" si="1398"/>
        <v>0</v>
      </c>
      <c r="S313" s="187">
        <v>0</v>
      </c>
      <c r="T313" s="187">
        <v>0</v>
      </c>
      <c r="U313" s="187">
        <v>0</v>
      </c>
      <c r="V313" s="187">
        <v>0</v>
      </c>
      <c r="W313" s="215">
        <f t="shared" si="1399"/>
        <v>0</v>
      </c>
      <c r="X313" s="187">
        <v>0</v>
      </c>
      <c r="Y313" s="187">
        <v>0</v>
      </c>
      <c r="Z313" s="187">
        <v>0</v>
      </c>
      <c r="AA313" s="187">
        <v>0</v>
      </c>
      <c r="AB313" s="215">
        <f t="shared" si="1400"/>
        <v>0</v>
      </c>
      <c r="AC313" s="187">
        <v>0</v>
      </c>
      <c r="AD313" s="187">
        <v>0</v>
      </c>
      <c r="AE313" s="187">
        <v>0</v>
      </c>
      <c r="AF313" s="187">
        <v>0</v>
      </c>
      <c r="AG313" s="119">
        <f t="shared" si="1401"/>
        <v>0</v>
      </c>
      <c r="AH313" s="187">
        <v>0</v>
      </c>
      <c r="AI313" s="187">
        <v>0</v>
      </c>
      <c r="AJ313" s="354">
        <v>0</v>
      </c>
      <c r="AK313" s="354">
        <v>0</v>
      </c>
      <c r="AL313" s="119">
        <f t="shared" si="1402"/>
        <v>0</v>
      </c>
      <c r="AM313" s="354">
        <v>0</v>
      </c>
      <c r="AN313" s="354">
        <v>0</v>
      </c>
      <c r="AO313" s="354">
        <v>0</v>
      </c>
      <c r="AP313" s="354">
        <v>0</v>
      </c>
      <c r="AQ313" s="119">
        <f t="shared" si="1403"/>
        <v>0</v>
      </c>
      <c r="AR313" s="354">
        <v>0</v>
      </c>
      <c r="AS313" s="354">
        <v>0</v>
      </c>
      <c r="AT313" s="354">
        <v>0</v>
      </c>
      <c r="AU313" s="354">
        <v>0</v>
      </c>
      <c r="AV313" s="119">
        <f t="shared" si="1404"/>
        <v>0</v>
      </c>
      <c r="AW313" s="354">
        <v>0</v>
      </c>
      <c r="AX313" s="354">
        <v>0</v>
      </c>
      <c r="AY313" s="354">
        <v>0</v>
      </c>
      <c r="AZ313" s="354">
        <v>0</v>
      </c>
      <c r="BA313" s="119">
        <f t="shared" si="1405"/>
        <v>0</v>
      </c>
      <c r="BB313" s="354">
        <v>0</v>
      </c>
      <c r="BC313" s="354">
        <v>0</v>
      </c>
      <c r="BD313" s="354">
        <v>1</v>
      </c>
      <c r="BE313" s="354">
        <v>1</v>
      </c>
      <c r="BF313" s="119">
        <f t="shared" si="1406"/>
        <v>1</v>
      </c>
      <c r="BG313" s="354">
        <v>1</v>
      </c>
      <c r="BH313" s="354">
        <v>1</v>
      </c>
      <c r="BI313" s="354">
        <v>1</v>
      </c>
      <c r="BJ313" s="354">
        <v>1</v>
      </c>
      <c r="BK313" s="119">
        <f t="shared" si="1407"/>
        <v>1</v>
      </c>
      <c r="BL313" s="354">
        <v>1</v>
      </c>
      <c r="BM313" s="354">
        <v>1</v>
      </c>
      <c r="BN313" s="354">
        <v>1</v>
      </c>
      <c r="BO313" s="120">
        <v>1</v>
      </c>
      <c r="BP313" s="119">
        <f t="shared" si="1408"/>
        <v>1</v>
      </c>
      <c r="BQ313" s="120">
        <v>1</v>
      </c>
      <c r="BR313" s="120">
        <v>1</v>
      </c>
      <c r="BS313" s="120">
        <v>1</v>
      </c>
      <c r="BT313" s="120">
        <v>1</v>
      </c>
      <c r="BU313" s="119">
        <f t="shared" si="1409"/>
        <v>1</v>
      </c>
      <c r="BV313" s="120">
        <v>1</v>
      </c>
      <c r="BW313" s="120">
        <v>1</v>
      </c>
      <c r="BX313" s="120">
        <v>0</v>
      </c>
      <c r="BY313" s="120">
        <v>0</v>
      </c>
      <c r="BZ313" s="119">
        <f t="shared" si="1410"/>
        <v>0</v>
      </c>
      <c r="CA313" s="120">
        <v>0</v>
      </c>
      <c r="CB313" s="120">
        <v>0</v>
      </c>
      <c r="CC313" s="120">
        <v>0</v>
      </c>
      <c r="CD313" s="120">
        <v>0</v>
      </c>
      <c r="CE313" s="119">
        <f t="shared" si="1411"/>
        <v>0</v>
      </c>
      <c r="CF313" s="120">
        <v>0</v>
      </c>
      <c r="CG313" s="120">
        <v>0</v>
      </c>
      <c r="CH313" s="120">
        <v>0</v>
      </c>
      <c r="CI313" s="120">
        <v>0</v>
      </c>
      <c r="CJ313" s="119">
        <f t="shared" si="1412"/>
        <v>0</v>
      </c>
      <c r="CK313" s="120">
        <v>0</v>
      </c>
      <c r="CL313" s="120">
        <v>0</v>
      </c>
      <c r="CM313" s="355">
        <v>0</v>
      </c>
      <c r="CN313" s="120">
        <v>0</v>
      </c>
      <c r="CO313" s="119">
        <f t="shared" si="1413"/>
        <v>0</v>
      </c>
      <c r="CP313" s="236">
        <v>0</v>
      </c>
      <c r="CQ313" s="217">
        <v>0</v>
      </c>
      <c r="CR313" s="217">
        <v>0</v>
      </c>
      <c r="CS313" s="217">
        <v>0</v>
      </c>
      <c r="CT313" s="216">
        <f t="shared" si="1414"/>
        <v>0</v>
      </c>
      <c r="CU313" s="217">
        <v>0</v>
      </c>
      <c r="CV313" s="217">
        <v>0</v>
      </c>
      <c r="CW313" s="217">
        <v>0</v>
      </c>
      <c r="CX313" s="217">
        <v>0</v>
      </c>
      <c r="CY313" s="216">
        <f t="shared" si="1415"/>
        <v>0</v>
      </c>
      <c r="CZ313" s="217">
        <v>0</v>
      </c>
      <c r="DA313" s="217">
        <v>0</v>
      </c>
      <c r="DB313" s="217">
        <v>0</v>
      </c>
      <c r="DC313" s="217">
        <v>0</v>
      </c>
      <c r="DD313" s="216">
        <f t="shared" si="1416"/>
        <v>0</v>
      </c>
      <c r="DE313" s="217">
        <v>0</v>
      </c>
      <c r="DF313" s="217">
        <v>0</v>
      </c>
      <c r="DG313" s="217"/>
      <c r="DH313" s="217"/>
      <c r="DI313" s="119"/>
      <c r="DJ313" s="120"/>
      <c r="DK313" s="120"/>
      <c r="DL313" s="120"/>
      <c r="DM313" s="120"/>
      <c r="DN313" s="119"/>
      <c r="DO313" s="120"/>
      <c r="DP313" s="120"/>
      <c r="DQ313" s="120"/>
      <c r="DR313" s="120"/>
      <c r="DS313" s="119"/>
    </row>
    <row r="314" hidden="1" outlineLevel="1" spans="2:123">
      <c r="B314" s="179" t="s">
        <v>413</v>
      </c>
      <c r="C314" s="119"/>
      <c r="D314" s="120"/>
      <c r="E314" s="120"/>
      <c r="F314" s="120"/>
      <c r="G314" s="120"/>
      <c r="H314" s="119"/>
      <c r="I314" s="120"/>
      <c r="J314" s="120"/>
      <c r="K314" s="120"/>
      <c r="L314" s="120"/>
      <c r="M314" s="119"/>
      <c r="N314" s="120"/>
      <c r="O314" s="120"/>
      <c r="P314" s="120"/>
      <c r="Q314" s="187">
        <v>0</v>
      </c>
      <c r="R314" s="215">
        <f t="shared" si="1398"/>
        <v>0</v>
      </c>
      <c r="S314" s="187">
        <v>0</v>
      </c>
      <c r="T314" s="187">
        <v>0</v>
      </c>
      <c r="U314" s="187">
        <v>0</v>
      </c>
      <c r="V314" s="187">
        <v>0</v>
      </c>
      <c r="W314" s="215">
        <f t="shared" si="1399"/>
        <v>0</v>
      </c>
      <c r="X314" s="187">
        <v>0</v>
      </c>
      <c r="Y314" s="187">
        <v>0</v>
      </c>
      <c r="Z314" s="187">
        <v>0</v>
      </c>
      <c r="AA314" s="187">
        <v>0</v>
      </c>
      <c r="AB314" s="215">
        <f t="shared" si="1400"/>
        <v>0</v>
      </c>
      <c r="AC314" s="187">
        <v>0</v>
      </c>
      <c r="AD314" s="187">
        <v>0</v>
      </c>
      <c r="AE314" s="187">
        <v>0</v>
      </c>
      <c r="AF314" s="187">
        <v>0</v>
      </c>
      <c r="AG314" s="119">
        <f t="shared" si="1401"/>
        <v>0</v>
      </c>
      <c r="AH314" s="187">
        <v>0</v>
      </c>
      <c r="AI314" s="187">
        <v>0</v>
      </c>
      <c r="AJ314" s="354">
        <v>0</v>
      </c>
      <c r="AK314" s="354">
        <v>0</v>
      </c>
      <c r="AL314" s="119">
        <f t="shared" si="1402"/>
        <v>0</v>
      </c>
      <c r="AM314" s="354">
        <v>0</v>
      </c>
      <c r="AN314" s="354">
        <v>0</v>
      </c>
      <c r="AO314" s="354">
        <v>0</v>
      </c>
      <c r="AP314" s="354">
        <v>0</v>
      </c>
      <c r="AQ314" s="119">
        <f t="shared" si="1403"/>
        <v>0</v>
      </c>
      <c r="AR314" s="354">
        <v>0</v>
      </c>
      <c r="AS314" s="354">
        <v>0</v>
      </c>
      <c r="AT314" s="354">
        <v>0</v>
      </c>
      <c r="AU314" s="354">
        <v>0</v>
      </c>
      <c r="AV314" s="119">
        <f t="shared" si="1404"/>
        <v>0</v>
      </c>
      <c r="AW314" s="354">
        <v>0</v>
      </c>
      <c r="AX314" s="354">
        <v>0</v>
      </c>
      <c r="AY314" s="354">
        <v>0</v>
      </c>
      <c r="AZ314" s="354">
        <v>0</v>
      </c>
      <c r="BA314" s="119">
        <f t="shared" si="1405"/>
        <v>0</v>
      </c>
      <c r="BB314" s="354">
        <v>0</v>
      </c>
      <c r="BC314" s="354">
        <v>0</v>
      </c>
      <c r="BD314" s="354">
        <v>0</v>
      </c>
      <c r="BE314" s="354">
        <v>0</v>
      </c>
      <c r="BF314" s="119">
        <f t="shared" si="1406"/>
        <v>0</v>
      </c>
      <c r="BG314" s="354">
        <v>0</v>
      </c>
      <c r="BH314" s="354">
        <v>1</v>
      </c>
      <c r="BI314" s="354">
        <v>2</v>
      </c>
      <c r="BJ314" s="354">
        <v>2</v>
      </c>
      <c r="BK314" s="119">
        <f t="shared" si="1407"/>
        <v>2</v>
      </c>
      <c r="BL314" s="354">
        <v>2</v>
      </c>
      <c r="BM314" s="354">
        <v>3</v>
      </c>
      <c r="BN314" s="354">
        <v>3</v>
      </c>
      <c r="BO314" s="120">
        <v>3</v>
      </c>
      <c r="BP314" s="119">
        <f t="shared" si="1408"/>
        <v>3</v>
      </c>
      <c r="BQ314" s="120">
        <v>4</v>
      </c>
      <c r="BR314" s="120">
        <v>4</v>
      </c>
      <c r="BS314" s="120">
        <v>4</v>
      </c>
      <c r="BT314" s="120">
        <v>4</v>
      </c>
      <c r="BU314" s="119">
        <f t="shared" si="1409"/>
        <v>4</v>
      </c>
      <c r="BV314" s="120">
        <v>5</v>
      </c>
      <c r="BW314" s="120">
        <v>5</v>
      </c>
      <c r="BX314" s="120">
        <v>5</v>
      </c>
      <c r="BY314" s="120">
        <v>5</v>
      </c>
      <c r="BZ314" s="119">
        <f t="shared" si="1410"/>
        <v>5</v>
      </c>
      <c r="CA314" s="120">
        <v>6</v>
      </c>
      <c r="CB314" s="120">
        <v>7</v>
      </c>
      <c r="CC314" s="120">
        <v>7</v>
      </c>
      <c r="CD314" s="120">
        <v>7</v>
      </c>
      <c r="CE314" s="119">
        <f t="shared" si="1411"/>
        <v>7</v>
      </c>
      <c r="CF314" s="120">
        <v>9</v>
      </c>
      <c r="CG314" s="120">
        <v>9</v>
      </c>
      <c r="CH314" s="120">
        <v>12</v>
      </c>
      <c r="CI314" s="120">
        <v>12</v>
      </c>
      <c r="CJ314" s="119">
        <f t="shared" si="1412"/>
        <v>12</v>
      </c>
      <c r="CK314" s="120">
        <v>13</v>
      </c>
      <c r="CL314" s="120">
        <v>14</v>
      </c>
      <c r="CM314" s="355">
        <v>16</v>
      </c>
      <c r="CN314" s="120">
        <v>16</v>
      </c>
      <c r="CO314" s="119">
        <f t="shared" si="1413"/>
        <v>16</v>
      </c>
      <c r="CP314" s="236">
        <v>16</v>
      </c>
      <c r="CQ314" s="217">
        <v>17</v>
      </c>
      <c r="CR314" s="217">
        <v>18</v>
      </c>
      <c r="CS314" s="217">
        <v>19</v>
      </c>
      <c r="CT314" s="216">
        <f t="shared" si="1414"/>
        <v>19</v>
      </c>
      <c r="CU314" s="217">
        <v>19</v>
      </c>
      <c r="CV314" s="217">
        <v>19</v>
      </c>
      <c r="CW314" s="217">
        <v>20</v>
      </c>
      <c r="CX314" s="217">
        <v>20</v>
      </c>
      <c r="CY314" s="216">
        <f t="shared" si="1415"/>
        <v>20</v>
      </c>
      <c r="CZ314" s="217">
        <v>20</v>
      </c>
      <c r="DA314" s="217">
        <v>20</v>
      </c>
      <c r="DB314" s="217">
        <v>21</v>
      </c>
      <c r="DC314" s="217">
        <v>22</v>
      </c>
      <c r="DD314" s="216">
        <f t="shared" si="1416"/>
        <v>22</v>
      </c>
      <c r="DE314" s="217">
        <v>23</v>
      </c>
      <c r="DF314" s="217">
        <v>23</v>
      </c>
      <c r="DG314" s="217"/>
      <c r="DH314" s="217"/>
      <c r="DI314" s="119"/>
      <c r="DJ314" s="120"/>
      <c r="DK314" s="120"/>
      <c r="DL314" s="120"/>
      <c r="DM314" s="120"/>
      <c r="DN314" s="119"/>
      <c r="DO314" s="120"/>
      <c r="DP314" s="120"/>
      <c r="DQ314" s="120"/>
      <c r="DR314" s="120"/>
      <c r="DS314" s="119"/>
    </row>
    <row r="315" hidden="1" outlineLevel="1" spans="2:123">
      <c r="B315" s="179" t="s">
        <v>414</v>
      </c>
      <c r="C315" s="119"/>
      <c r="D315" s="120"/>
      <c r="E315" s="120"/>
      <c r="F315" s="120"/>
      <c r="G315" s="120"/>
      <c r="H315" s="119"/>
      <c r="I315" s="120"/>
      <c r="J315" s="120"/>
      <c r="K315" s="120"/>
      <c r="L315" s="120"/>
      <c r="M315" s="119"/>
      <c r="N315" s="120"/>
      <c r="O315" s="120"/>
      <c r="P315" s="120"/>
      <c r="Q315" s="187">
        <v>0</v>
      </c>
      <c r="R315" s="215">
        <f t="shared" si="1398"/>
        <v>0</v>
      </c>
      <c r="S315" s="187">
        <v>0</v>
      </c>
      <c r="T315" s="187">
        <v>0</v>
      </c>
      <c r="U315" s="187">
        <v>0</v>
      </c>
      <c r="V315" s="187">
        <v>0</v>
      </c>
      <c r="W315" s="215">
        <f t="shared" si="1399"/>
        <v>0</v>
      </c>
      <c r="X315" s="187">
        <v>0</v>
      </c>
      <c r="Y315" s="187">
        <v>0</v>
      </c>
      <c r="Z315" s="187">
        <v>0</v>
      </c>
      <c r="AA315" s="187">
        <v>0</v>
      </c>
      <c r="AB315" s="215">
        <f t="shared" si="1400"/>
        <v>0</v>
      </c>
      <c r="AC315" s="187">
        <v>0</v>
      </c>
      <c r="AD315" s="187">
        <v>0</v>
      </c>
      <c r="AE315" s="187">
        <v>0</v>
      </c>
      <c r="AF315" s="187">
        <v>0</v>
      </c>
      <c r="AG315" s="119">
        <f t="shared" si="1401"/>
        <v>0</v>
      </c>
      <c r="AH315" s="187">
        <v>0</v>
      </c>
      <c r="AI315" s="187">
        <v>0</v>
      </c>
      <c r="AJ315" s="354">
        <v>0</v>
      </c>
      <c r="AK315" s="354">
        <v>0</v>
      </c>
      <c r="AL315" s="119">
        <f t="shared" si="1402"/>
        <v>0</v>
      </c>
      <c r="AM315" s="354">
        <v>0</v>
      </c>
      <c r="AN315" s="354">
        <v>0</v>
      </c>
      <c r="AO315" s="354">
        <v>0</v>
      </c>
      <c r="AP315" s="354">
        <v>0</v>
      </c>
      <c r="AQ315" s="119">
        <f t="shared" si="1403"/>
        <v>0</v>
      </c>
      <c r="AR315" s="354">
        <v>0</v>
      </c>
      <c r="AS315" s="354">
        <v>0</v>
      </c>
      <c r="AT315" s="354">
        <v>0</v>
      </c>
      <c r="AU315" s="354">
        <v>0</v>
      </c>
      <c r="AV315" s="119">
        <f t="shared" si="1404"/>
        <v>0</v>
      </c>
      <c r="AW315" s="354">
        <v>0</v>
      </c>
      <c r="AX315" s="354">
        <v>0</v>
      </c>
      <c r="AY315" s="354">
        <v>0</v>
      </c>
      <c r="AZ315" s="354">
        <v>0</v>
      </c>
      <c r="BA315" s="119">
        <f t="shared" si="1405"/>
        <v>0</v>
      </c>
      <c r="BB315" s="354">
        <v>0</v>
      </c>
      <c r="BC315" s="354">
        <v>0</v>
      </c>
      <c r="BD315" s="354">
        <v>0</v>
      </c>
      <c r="BE315" s="354">
        <v>0</v>
      </c>
      <c r="BF315" s="119">
        <f t="shared" si="1406"/>
        <v>0</v>
      </c>
      <c r="BG315" s="354">
        <v>0</v>
      </c>
      <c r="BH315" s="354">
        <v>1</v>
      </c>
      <c r="BI315" s="354">
        <v>1</v>
      </c>
      <c r="BJ315" s="354">
        <v>1</v>
      </c>
      <c r="BK315" s="119">
        <f t="shared" si="1407"/>
        <v>1</v>
      </c>
      <c r="BL315" s="354">
        <v>1</v>
      </c>
      <c r="BM315" s="354">
        <v>1</v>
      </c>
      <c r="BN315" s="354">
        <v>1</v>
      </c>
      <c r="BO315" s="120">
        <v>1</v>
      </c>
      <c r="BP315" s="119">
        <f t="shared" si="1408"/>
        <v>1</v>
      </c>
      <c r="BQ315" s="120">
        <v>1</v>
      </c>
      <c r="BR315" s="120">
        <v>1</v>
      </c>
      <c r="BS315" s="120">
        <v>1</v>
      </c>
      <c r="BT315" s="120">
        <v>1</v>
      </c>
      <c r="BU315" s="119">
        <f t="shared" si="1409"/>
        <v>1</v>
      </c>
      <c r="BV315" s="120">
        <v>1</v>
      </c>
      <c r="BW315" s="120">
        <v>1</v>
      </c>
      <c r="BX315" s="120">
        <v>1</v>
      </c>
      <c r="BY315" s="120">
        <v>1</v>
      </c>
      <c r="BZ315" s="119">
        <f t="shared" si="1410"/>
        <v>1</v>
      </c>
      <c r="CA315" s="120">
        <v>1</v>
      </c>
      <c r="CB315" s="120">
        <v>1</v>
      </c>
      <c r="CC315" s="120">
        <v>1</v>
      </c>
      <c r="CD315" s="120">
        <v>1</v>
      </c>
      <c r="CE315" s="119">
        <f t="shared" si="1411"/>
        <v>1</v>
      </c>
      <c r="CF315" s="120">
        <v>1</v>
      </c>
      <c r="CG315" s="120">
        <v>1</v>
      </c>
      <c r="CH315" s="120">
        <v>1</v>
      </c>
      <c r="CI315" s="120">
        <v>1</v>
      </c>
      <c r="CJ315" s="119">
        <f t="shared" si="1412"/>
        <v>1</v>
      </c>
      <c r="CK315" s="120">
        <v>1</v>
      </c>
      <c r="CL315" s="120">
        <v>1</v>
      </c>
      <c r="CM315" s="355">
        <v>1</v>
      </c>
      <c r="CN315" s="120">
        <v>1</v>
      </c>
      <c r="CO315" s="119">
        <f t="shared" si="1413"/>
        <v>1</v>
      </c>
      <c r="CP315" s="236">
        <v>1</v>
      </c>
      <c r="CQ315" s="217">
        <v>1</v>
      </c>
      <c r="CR315" s="217">
        <v>1</v>
      </c>
      <c r="CS315" s="217">
        <v>1</v>
      </c>
      <c r="CT315" s="216">
        <f t="shared" si="1414"/>
        <v>1</v>
      </c>
      <c r="CU315" s="217">
        <v>1</v>
      </c>
      <c r="CV315" s="217">
        <v>1</v>
      </c>
      <c r="CW315" s="217">
        <v>1</v>
      </c>
      <c r="CX315" s="217">
        <v>1</v>
      </c>
      <c r="CY315" s="216">
        <f t="shared" si="1415"/>
        <v>1</v>
      </c>
      <c r="CZ315" s="217">
        <v>1</v>
      </c>
      <c r="DA315" s="217">
        <v>1</v>
      </c>
      <c r="DB315" s="217">
        <v>1</v>
      </c>
      <c r="DC315" s="217">
        <v>1</v>
      </c>
      <c r="DD315" s="216">
        <f t="shared" si="1416"/>
        <v>1</v>
      </c>
      <c r="DE315" s="217">
        <v>1</v>
      </c>
      <c r="DF315" s="217">
        <v>1</v>
      </c>
      <c r="DG315" s="217"/>
      <c r="DH315" s="217"/>
      <c r="DI315" s="119"/>
      <c r="DJ315" s="120"/>
      <c r="DK315" s="120"/>
      <c r="DL315" s="120"/>
      <c r="DM315" s="120"/>
      <c r="DN315" s="119"/>
      <c r="DO315" s="120"/>
      <c r="DP315" s="120"/>
      <c r="DQ315" s="120"/>
      <c r="DR315" s="120"/>
      <c r="DS315" s="119"/>
    </row>
    <row r="316" hidden="1" outlineLevel="1" spans="2:123">
      <c r="B316" s="179" t="s">
        <v>415</v>
      </c>
      <c r="C316" s="119"/>
      <c r="D316" s="120"/>
      <c r="E316" s="120"/>
      <c r="F316" s="120"/>
      <c r="G316" s="120"/>
      <c r="H316" s="119"/>
      <c r="I316" s="120"/>
      <c r="J316" s="120"/>
      <c r="K316" s="120"/>
      <c r="L316" s="120"/>
      <c r="M316" s="119"/>
      <c r="N316" s="120"/>
      <c r="O316" s="120"/>
      <c r="P316" s="120"/>
      <c r="Q316" s="354">
        <v>0</v>
      </c>
      <c r="R316" s="215">
        <f t="shared" si="1398"/>
        <v>0</v>
      </c>
      <c r="S316" s="354">
        <v>0</v>
      </c>
      <c r="T316" s="354">
        <v>0</v>
      </c>
      <c r="U316" s="354">
        <v>0</v>
      </c>
      <c r="V316" s="354">
        <v>0</v>
      </c>
      <c r="W316" s="215">
        <f t="shared" si="1399"/>
        <v>0</v>
      </c>
      <c r="X316" s="354">
        <v>0</v>
      </c>
      <c r="Y316" s="354">
        <v>0</v>
      </c>
      <c r="Z316" s="354">
        <v>0</v>
      </c>
      <c r="AA316" s="354">
        <v>0</v>
      </c>
      <c r="AB316" s="215">
        <f t="shared" si="1400"/>
        <v>0</v>
      </c>
      <c r="AC316" s="354">
        <v>0</v>
      </c>
      <c r="AD316" s="354">
        <v>0</v>
      </c>
      <c r="AE316" s="354">
        <v>0</v>
      </c>
      <c r="AF316" s="354">
        <v>0</v>
      </c>
      <c r="AG316" s="119">
        <f t="shared" si="1401"/>
        <v>0</v>
      </c>
      <c r="AH316" s="354">
        <v>0</v>
      </c>
      <c r="AI316" s="354">
        <v>0</v>
      </c>
      <c r="AJ316" s="354">
        <v>0</v>
      </c>
      <c r="AK316" s="354">
        <v>0</v>
      </c>
      <c r="AL316" s="119">
        <f t="shared" si="1402"/>
        <v>0</v>
      </c>
      <c r="AM316" s="354">
        <v>0</v>
      </c>
      <c r="AN316" s="354">
        <v>0</v>
      </c>
      <c r="AO316" s="354">
        <v>0</v>
      </c>
      <c r="AP316" s="354">
        <v>0</v>
      </c>
      <c r="AQ316" s="119">
        <f t="shared" si="1403"/>
        <v>0</v>
      </c>
      <c r="AR316" s="354">
        <v>0</v>
      </c>
      <c r="AS316" s="354">
        <v>0</v>
      </c>
      <c r="AT316" s="354">
        <v>0</v>
      </c>
      <c r="AU316" s="354">
        <v>0</v>
      </c>
      <c r="AV316" s="119">
        <f t="shared" si="1404"/>
        <v>0</v>
      </c>
      <c r="AW316" s="354">
        <v>0</v>
      </c>
      <c r="AX316" s="354">
        <v>0</v>
      </c>
      <c r="AY316" s="354">
        <v>0</v>
      </c>
      <c r="AZ316" s="354">
        <v>0</v>
      </c>
      <c r="BA316" s="119">
        <f t="shared" si="1405"/>
        <v>0</v>
      </c>
      <c r="BB316" s="354">
        <v>0</v>
      </c>
      <c r="BC316" s="354">
        <v>0</v>
      </c>
      <c r="BD316" s="354">
        <v>0</v>
      </c>
      <c r="BE316" s="354">
        <v>0</v>
      </c>
      <c r="BF316" s="119">
        <f t="shared" si="1406"/>
        <v>0</v>
      </c>
      <c r="BG316" s="354">
        <v>0</v>
      </c>
      <c r="BH316" s="354">
        <v>0</v>
      </c>
      <c r="BI316" s="354">
        <v>0</v>
      </c>
      <c r="BJ316" s="354">
        <v>0</v>
      </c>
      <c r="BK316" s="119">
        <f t="shared" si="1407"/>
        <v>0</v>
      </c>
      <c r="BL316" s="354">
        <v>1</v>
      </c>
      <c r="BM316" s="354">
        <v>1</v>
      </c>
      <c r="BN316" s="354">
        <v>1</v>
      </c>
      <c r="BO316" s="120">
        <v>1</v>
      </c>
      <c r="BP316" s="119">
        <f t="shared" si="1408"/>
        <v>1</v>
      </c>
      <c r="BQ316" s="120">
        <v>1</v>
      </c>
      <c r="BR316" s="120">
        <v>1</v>
      </c>
      <c r="BS316" s="120">
        <v>1</v>
      </c>
      <c r="BT316" s="120">
        <v>1</v>
      </c>
      <c r="BU316" s="119">
        <f t="shared" si="1409"/>
        <v>1</v>
      </c>
      <c r="BV316" s="120">
        <v>1</v>
      </c>
      <c r="BW316" s="120">
        <v>1</v>
      </c>
      <c r="BX316" s="120">
        <v>1</v>
      </c>
      <c r="BY316" s="120">
        <v>1</v>
      </c>
      <c r="BZ316" s="119">
        <f t="shared" si="1410"/>
        <v>1</v>
      </c>
      <c r="CA316" s="120">
        <v>1</v>
      </c>
      <c r="CB316" s="120">
        <v>1</v>
      </c>
      <c r="CC316" s="120">
        <v>1</v>
      </c>
      <c r="CD316" s="120">
        <v>1</v>
      </c>
      <c r="CE316" s="119">
        <f t="shared" si="1411"/>
        <v>1</v>
      </c>
      <c r="CF316" s="120">
        <v>1</v>
      </c>
      <c r="CG316" s="120">
        <v>2</v>
      </c>
      <c r="CH316" s="120">
        <v>2</v>
      </c>
      <c r="CI316" s="120">
        <v>3</v>
      </c>
      <c r="CJ316" s="119">
        <f t="shared" si="1412"/>
        <v>3</v>
      </c>
      <c r="CK316" s="120">
        <v>4</v>
      </c>
      <c r="CL316" s="120">
        <v>4</v>
      </c>
      <c r="CM316" s="355">
        <v>4</v>
      </c>
      <c r="CN316" s="120">
        <v>4</v>
      </c>
      <c r="CO316" s="119">
        <f t="shared" si="1413"/>
        <v>4</v>
      </c>
      <c r="CP316" s="236">
        <v>4</v>
      </c>
      <c r="CQ316" s="217">
        <v>4</v>
      </c>
      <c r="CR316" s="217">
        <v>4</v>
      </c>
      <c r="CS316" s="217">
        <v>4</v>
      </c>
      <c r="CT316" s="216">
        <f t="shared" si="1414"/>
        <v>4</v>
      </c>
      <c r="CU316" s="217">
        <v>4</v>
      </c>
      <c r="CV316" s="217">
        <v>4</v>
      </c>
      <c r="CW316" s="217">
        <v>4</v>
      </c>
      <c r="CX316" s="217">
        <v>4</v>
      </c>
      <c r="CY316" s="216">
        <f t="shared" si="1415"/>
        <v>4</v>
      </c>
      <c r="CZ316" s="217">
        <v>4</v>
      </c>
      <c r="DA316" s="217">
        <v>4</v>
      </c>
      <c r="DB316" s="217">
        <v>4</v>
      </c>
      <c r="DC316" s="217">
        <v>4</v>
      </c>
      <c r="DD316" s="216">
        <f t="shared" si="1416"/>
        <v>4</v>
      </c>
      <c r="DE316" s="217">
        <v>4</v>
      </c>
      <c r="DF316" s="217">
        <v>4</v>
      </c>
      <c r="DG316" s="217"/>
      <c r="DH316" s="217"/>
      <c r="DI316" s="119"/>
      <c r="DJ316" s="120"/>
      <c r="DK316" s="120"/>
      <c r="DL316" s="120"/>
      <c r="DM316" s="120"/>
      <c r="DN316" s="119"/>
      <c r="DO316" s="120"/>
      <c r="DP316" s="120"/>
      <c r="DQ316" s="120"/>
      <c r="DR316" s="120"/>
      <c r="DS316" s="119"/>
    </row>
    <row r="317" hidden="1" outlineLevel="1" spans="2:123">
      <c r="B317" s="179" t="s">
        <v>416</v>
      </c>
      <c r="C317" s="119"/>
      <c r="D317" s="120"/>
      <c r="E317" s="120"/>
      <c r="F317" s="120"/>
      <c r="G317" s="120"/>
      <c r="H317" s="119"/>
      <c r="I317" s="120"/>
      <c r="J317" s="120"/>
      <c r="K317" s="120"/>
      <c r="L317" s="120"/>
      <c r="M317" s="119"/>
      <c r="N317" s="120"/>
      <c r="O317" s="120"/>
      <c r="P317" s="120"/>
      <c r="Q317" s="354">
        <v>0</v>
      </c>
      <c r="R317" s="215">
        <f t="shared" si="1398"/>
        <v>0</v>
      </c>
      <c r="S317" s="354">
        <v>0</v>
      </c>
      <c r="T317" s="354">
        <v>0</v>
      </c>
      <c r="U317" s="354">
        <v>0</v>
      </c>
      <c r="V317" s="354">
        <v>0</v>
      </c>
      <c r="W317" s="215">
        <f t="shared" si="1399"/>
        <v>0</v>
      </c>
      <c r="X317" s="354">
        <v>0</v>
      </c>
      <c r="Y317" s="354">
        <v>0</v>
      </c>
      <c r="Z317" s="354">
        <v>0</v>
      </c>
      <c r="AA317" s="354">
        <v>0</v>
      </c>
      <c r="AB317" s="215">
        <f t="shared" si="1400"/>
        <v>0</v>
      </c>
      <c r="AC317" s="354">
        <v>0</v>
      </c>
      <c r="AD317" s="354">
        <v>0</v>
      </c>
      <c r="AE317" s="354">
        <v>0</v>
      </c>
      <c r="AF317" s="354">
        <v>0</v>
      </c>
      <c r="AG317" s="119">
        <f t="shared" si="1401"/>
        <v>0</v>
      </c>
      <c r="AH317" s="354">
        <v>0</v>
      </c>
      <c r="AI317" s="354">
        <v>0</v>
      </c>
      <c r="AJ317" s="354">
        <v>0</v>
      </c>
      <c r="AK317" s="354">
        <v>0</v>
      </c>
      <c r="AL317" s="119">
        <f t="shared" si="1402"/>
        <v>0</v>
      </c>
      <c r="AM317" s="354">
        <v>0</v>
      </c>
      <c r="AN317" s="354">
        <v>0</v>
      </c>
      <c r="AO317" s="354">
        <v>0</v>
      </c>
      <c r="AP317" s="354">
        <v>0</v>
      </c>
      <c r="AQ317" s="119">
        <f t="shared" si="1403"/>
        <v>0</v>
      </c>
      <c r="AR317" s="354">
        <v>0</v>
      </c>
      <c r="AS317" s="354">
        <v>0</v>
      </c>
      <c r="AT317" s="354">
        <v>0</v>
      </c>
      <c r="AU317" s="354">
        <v>0</v>
      </c>
      <c r="AV317" s="119">
        <f t="shared" si="1404"/>
        <v>0</v>
      </c>
      <c r="AW317" s="354">
        <v>0</v>
      </c>
      <c r="AX317" s="354">
        <v>0</v>
      </c>
      <c r="AY317" s="354">
        <v>0</v>
      </c>
      <c r="AZ317" s="354">
        <v>0</v>
      </c>
      <c r="BA317" s="119">
        <f t="shared" si="1405"/>
        <v>0</v>
      </c>
      <c r="BB317" s="354">
        <v>0</v>
      </c>
      <c r="BC317" s="354">
        <v>0</v>
      </c>
      <c r="BD317" s="354">
        <v>0</v>
      </c>
      <c r="BE317" s="354">
        <v>0</v>
      </c>
      <c r="BF317" s="119">
        <f t="shared" si="1406"/>
        <v>0</v>
      </c>
      <c r="BG317" s="354">
        <v>0</v>
      </c>
      <c r="BH317" s="354">
        <v>0</v>
      </c>
      <c r="BI317" s="354">
        <v>0</v>
      </c>
      <c r="BJ317" s="354">
        <v>0</v>
      </c>
      <c r="BK317" s="119">
        <f t="shared" si="1407"/>
        <v>0</v>
      </c>
      <c r="BL317" s="354">
        <v>0</v>
      </c>
      <c r="BM317" s="354">
        <v>0</v>
      </c>
      <c r="BN317" s="354">
        <v>1</v>
      </c>
      <c r="BO317" s="120">
        <v>1</v>
      </c>
      <c r="BP317" s="119">
        <f t="shared" si="1408"/>
        <v>1</v>
      </c>
      <c r="BQ317" s="120">
        <v>1</v>
      </c>
      <c r="BR317" s="120">
        <v>1</v>
      </c>
      <c r="BS317" s="120">
        <v>1</v>
      </c>
      <c r="BT317" s="120">
        <v>1</v>
      </c>
      <c r="BU317" s="119">
        <f t="shared" si="1409"/>
        <v>1</v>
      </c>
      <c r="BV317" s="120">
        <v>1</v>
      </c>
      <c r="BW317" s="120">
        <v>1</v>
      </c>
      <c r="BX317" s="120">
        <v>1</v>
      </c>
      <c r="BY317" s="120">
        <v>1</v>
      </c>
      <c r="BZ317" s="119">
        <f t="shared" si="1410"/>
        <v>1</v>
      </c>
      <c r="CA317" s="120">
        <v>1</v>
      </c>
      <c r="CB317" s="120">
        <v>1</v>
      </c>
      <c r="CC317" s="120">
        <v>2</v>
      </c>
      <c r="CD317" s="120">
        <v>2</v>
      </c>
      <c r="CE317" s="119">
        <f t="shared" si="1411"/>
        <v>2</v>
      </c>
      <c r="CF317" s="120">
        <v>2</v>
      </c>
      <c r="CG317" s="120">
        <v>3</v>
      </c>
      <c r="CH317" s="120">
        <v>3</v>
      </c>
      <c r="CI317" s="120">
        <v>5</v>
      </c>
      <c r="CJ317" s="119">
        <f t="shared" si="1412"/>
        <v>5</v>
      </c>
      <c r="CK317" s="120">
        <v>5</v>
      </c>
      <c r="CL317" s="120">
        <v>6</v>
      </c>
      <c r="CM317" s="355">
        <v>6</v>
      </c>
      <c r="CN317" s="120">
        <v>7</v>
      </c>
      <c r="CO317" s="119">
        <f t="shared" si="1413"/>
        <v>7</v>
      </c>
      <c r="CP317" s="236">
        <v>7</v>
      </c>
      <c r="CQ317" s="217">
        <v>8</v>
      </c>
      <c r="CR317" s="217">
        <v>8</v>
      </c>
      <c r="CS317" s="217">
        <v>8</v>
      </c>
      <c r="CT317" s="216">
        <f t="shared" si="1414"/>
        <v>8</v>
      </c>
      <c r="CU317" s="217">
        <v>8</v>
      </c>
      <c r="CV317" s="217">
        <v>8</v>
      </c>
      <c r="CW317" s="217">
        <v>8</v>
      </c>
      <c r="CX317" s="217">
        <v>8</v>
      </c>
      <c r="CY317" s="216">
        <f t="shared" si="1415"/>
        <v>8</v>
      </c>
      <c r="CZ317" s="217">
        <v>8</v>
      </c>
      <c r="DA317" s="217">
        <v>8</v>
      </c>
      <c r="DB317" s="217">
        <v>7</v>
      </c>
      <c r="DC317" s="217">
        <v>7</v>
      </c>
      <c r="DD317" s="216">
        <f t="shared" si="1416"/>
        <v>7</v>
      </c>
      <c r="DE317" s="217">
        <v>8</v>
      </c>
      <c r="DF317" s="217">
        <v>8</v>
      </c>
      <c r="DG317" s="217"/>
      <c r="DH317" s="217"/>
      <c r="DI317" s="119"/>
      <c r="DJ317" s="120"/>
      <c r="DK317" s="120"/>
      <c r="DL317" s="120"/>
      <c r="DM317" s="120"/>
      <c r="DN317" s="119"/>
      <c r="DO317" s="120"/>
      <c r="DP317" s="120"/>
      <c r="DQ317" s="120"/>
      <c r="DR317" s="120"/>
      <c r="DS317" s="119"/>
    </row>
    <row r="318" hidden="1" outlineLevel="1" spans="2:123">
      <c r="B318" s="179" t="s">
        <v>417</v>
      </c>
      <c r="C318" s="119"/>
      <c r="D318" s="120"/>
      <c r="E318" s="120"/>
      <c r="F318" s="120"/>
      <c r="G318" s="120"/>
      <c r="H318" s="119"/>
      <c r="I318" s="120"/>
      <c r="J318" s="120"/>
      <c r="K318" s="120"/>
      <c r="L318" s="120"/>
      <c r="M318" s="119"/>
      <c r="N318" s="120"/>
      <c r="O318" s="120"/>
      <c r="P318" s="120"/>
      <c r="Q318" s="354">
        <v>0</v>
      </c>
      <c r="R318" s="215">
        <f t="shared" si="1398"/>
        <v>0</v>
      </c>
      <c r="S318" s="354">
        <v>0</v>
      </c>
      <c r="T318" s="354">
        <v>0</v>
      </c>
      <c r="U318" s="354">
        <v>0</v>
      </c>
      <c r="V318" s="354">
        <v>0</v>
      </c>
      <c r="W318" s="215">
        <f t="shared" si="1399"/>
        <v>0</v>
      </c>
      <c r="X318" s="354">
        <v>0</v>
      </c>
      <c r="Y318" s="354">
        <v>0</v>
      </c>
      <c r="Z318" s="354">
        <v>0</v>
      </c>
      <c r="AA318" s="354">
        <v>0</v>
      </c>
      <c r="AB318" s="215">
        <f t="shared" si="1400"/>
        <v>0</v>
      </c>
      <c r="AC318" s="354">
        <v>0</v>
      </c>
      <c r="AD318" s="354">
        <v>0</v>
      </c>
      <c r="AE318" s="354">
        <v>0</v>
      </c>
      <c r="AF318" s="354">
        <v>0</v>
      </c>
      <c r="AG318" s="119">
        <f t="shared" si="1401"/>
        <v>0</v>
      </c>
      <c r="AH318" s="354">
        <v>0</v>
      </c>
      <c r="AI318" s="354">
        <v>0</v>
      </c>
      <c r="AJ318" s="354">
        <v>0</v>
      </c>
      <c r="AK318" s="354">
        <v>0</v>
      </c>
      <c r="AL318" s="119">
        <f t="shared" si="1402"/>
        <v>0</v>
      </c>
      <c r="AM318" s="354">
        <v>0</v>
      </c>
      <c r="AN318" s="354">
        <v>0</v>
      </c>
      <c r="AO318" s="354">
        <v>0</v>
      </c>
      <c r="AP318" s="354">
        <v>0</v>
      </c>
      <c r="AQ318" s="119">
        <f t="shared" si="1403"/>
        <v>0</v>
      </c>
      <c r="AR318" s="354">
        <v>0</v>
      </c>
      <c r="AS318" s="354">
        <v>0</v>
      </c>
      <c r="AT318" s="354">
        <v>0</v>
      </c>
      <c r="AU318" s="354">
        <v>0</v>
      </c>
      <c r="AV318" s="119">
        <f t="shared" si="1404"/>
        <v>0</v>
      </c>
      <c r="AW318" s="354">
        <v>0</v>
      </c>
      <c r="AX318" s="354">
        <v>0</v>
      </c>
      <c r="AY318" s="354">
        <v>0</v>
      </c>
      <c r="AZ318" s="354">
        <v>0</v>
      </c>
      <c r="BA318" s="119">
        <f t="shared" si="1405"/>
        <v>0</v>
      </c>
      <c r="BB318" s="354">
        <v>0</v>
      </c>
      <c r="BC318" s="354">
        <v>0</v>
      </c>
      <c r="BD318" s="354">
        <v>0</v>
      </c>
      <c r="BE318" s="354">
        <v>0</v>
      </c>
      <c r="BF318" s="119">
        <f t="shared" si="1406"/>
        <v>0</v>
      </c>
      <c r="BG318" s="354">
        <v>0</v>
      </c>
      <c r="BH318" s="354">
        <v>0</v>
      </c>
      <c r="BI318" s="354">
        <v>0</v>
      </c>
      <c r="BJ318" s="354">
        <v>0</v>
      </c>
      <c r="BK318" s="119">
        <f t="shared" si="1407"/>
        <v>0</v>
      </c>
      <c r="BL318" s="354">
        <v>0</v>
      </c>
      <c r="BM318" s="354">
        <v>0</v>
      </c>
      <c r="BN318" s="354">
        <v>0</v>
      </c>
      <c r="BO318" s="120">
        <v>0</v>
      </c>
      <c r="BP318" s="119">
        <f t="shared" si="1408"/>
        <v>0</v>
      </c>
      <c r="BQ318" s="120">
        <v>0</v>
      </c>
      <c r="BR318" s="120">
        <v>1</v>
      </c>
      <c r="BS318" s="120">
        <v>1</v>
      </c>
      <c r="BT318" s="120">
        <v>1</v>
      </c>
      <c r="BU318" s="119">
        <f t="shared" si="1409"/>
        <v>1</v>
      </c>
      <c r="BV318" s="120">
        <v>1</v>
      </c>
      <c r="BW318" s="120">
        <v>1</v>
      </c>
      <c r="BX318" s="120">
        <v>2</v>
      </c>
      <c r="BY318" s="120">
        <v>2</v>
      </c>
      <c r="BZ318" s="119">
        <f t="shared" si="1410"/>
        <v>2</v>
      </c>
      <c r="CA318" s="120">
        <v>2</v>
      </c>
      <c r="CB318" s="120">
        <v>2</v>
      </c>
      <c r="CC318" s="120">
        <v>2</v>
      </c>
      <c r="CD318" s="120">
        <v>2</v>
      </c>
      <c r="CE318" s="119">
        <f t="shared" si="1411"/>
        <v>2</v>
      </c>
      <c r="CF318" s="120">
        <v>2</v>
      </c>
      <c r="CG318" s="120">
        <v>2</v>
      </c>
      <c r="CH318" s="120">
        <v>2</v>
      </c>
      <c r="CI318" s="120">
        <v>2</v>
      </c>
      <c r="CJ318" s="119">
        <f t="shared" si="1412"/>
        <v>2</v>
      </c>
      <c r="CK318" s="120">
        <v>2</v>
      </c>
      <c r="CL318" s="120">
        <v>2</v>
      </c>
      <c r="CM318" s="355">
        <v>2</v>
      </c>
      <c r="CN318" s="120">
        <v>2</v>
      </c>
      <c r="CO318" s="119">
        <f t="shared" si="1413"/>
        <v>2</v>
      </c>
      <c r="CP318" s="236">
        <v>2</v>
      </c>
      <c r="CQ318" s="217">
        <v>2</v>
      </c>
      <c r="CR318" s="217">
        <v>2</v>
      </c>
      <c r="CS318" s="217">
        <v>2</v>
      </c>
      <c r="CT318" s="216">
        <f t="shared" si="1414"/>
        <v>2</v>
      </c>
      <c r="CU318" s="217">
        <v>2</v>
      </c>
      <c r="CV318" s="217">
        <v>2</v>
      </c>
      <c r="CW318" s="217">
        <v>2</v>
      </c>
      <c r="CX318" s="217">
        <v>2</v>
      </c>
      <c r="CY318" s="216">
        <f t="shared" si="1415"/>
        <v>2</v>
      </c>
      <c r="CZ318" s="217">
        <v>2</v>
      </c>
      <c r="DA318" s="217">
        <v>2</v>
      </c>
      <c r="DB318" s="217">
        <v>2</v>
      </c>
      <c r="DC318" s="217">
        <v>2</v>
      </c>
      <c r="DD318" s="216">
        <f t="shared" si="1416"/>
        <v>2</v>
      </c>
      <c r="DE318" s="217">
        <v>2</v>
      </c>
      <c r="DF318" s="217">
        <v>2</v>
      </c>
      <c r="DG318" s="217"/>
      <c r="DH318" s="217"/>
      <c r="DI318" s="119"/>
      <c r="DJ318" s="120"/>
      <c r="DK318" s="120"/>
      <c r="DL318" s="120"/>
      <c r="DM318" s="120"/>
      <c r="DN318" s="119"/>
      <c r="DO318" s="120"/>
      <c r="DP318" s="120"/>
      <c r="DQ318" s="120"/>
      <c r="DR318" s="120"/>
      <c r="DS318" s="119"/>
    </row>
    <row r="319" hidden="1" outlineLevel="1" spans="2:123">
      <c r="B319" s="179" t="s">
        <v>418</v>
      </c>
      <c r="C319" s="119"/>
      <c r="D319" s="120"/>
      <c r="E319" s="120"/>
      <c r="F319" s="120"/>
      <c r="G319" s="120"/>
      <c r="H319" s="119"/>
      <c r="I319" s="120"/>
      <c r="J319" s="120"/>
      <c r="K319" s="120"/>
      <c r="L319" s="120"/>
      <c r="M319" s="119"/>
      <c r="N319" s="120"/>
      <c r="O319" s="120"/>
      <c r="P319" s="120"/>
      <c r="Q319" s="354">
        <v>0</v>
      </c>
      <c r="R319" s="215">
        <f t="shared" si="1398"/>
        <v>0</v>
      </c>
      <c r="S319" s="354">
        <v>0</v>
      </c>
      <c r="T319" s="354">
        <v>0</v>
      </c>
      <c r="U319" s="354">
        <v>0</v>
      </c>
      <c r="V319" s="354">
        <v>0</v>
      </c>
      <c r="W319" s="215">
        <f t="shared" si="1399"/>
        <v>0</v>
      </c>
      <c r="X319" s="354">
        <v>0</v>
      </c>
      <c r="Y319" s="354">
        <v>0</v>
      </c>
      <c r="Z319" s="354">
        <v>0</v>
      </c>
      <c r="AA319" s="354">
        <v>0</v>
      </c>
      <c r="AB319" s="215">
        <f t="shared" si="1400"/>
        <v>0</v>
      </c>
      <c r="AC319" s="354">
        <v>0</v>
      </c>
      <c r="AD319" s="354">
        <v>0</v>
      </c>
      <c r="AE319" s="354">
        <v>0</v>
      </c>
      <c r="AF319" s="354">
        <v>0</v>
      </c>
      <c r="AG319" s="119">
        <f t="shared" si="1401"/>
        <v>0</v>
      </c>
      <c r="AH319" s="354">
        <v>0</v>
      </c>
      <c r="AI319" s="354">
        <v>0</v>
      </c>
      <c r="AJ319" s="354">
        <v>0</v>
      </c>
      <c r="AK319" s="354">
        <v>0</v>
      </c>
      <c r="AL319" s="119">
        <f t="shared" si="1402"/>
        <v>0</v>
      </c>
      <c r="AM319" s="354">
        <v>0</v>
      </c>
      <c r="AN319" s="354">
        <v>0</v>
      </c>
      <c r="AO319" s="354">
        <v>0</v>
      </c>
      <c r="AP319" s="354">
        <v>0</v>
      </c>
      <c r="AQ319" s="119">
        <f t="shared" si="1403"/>
        <v>0</v>
      </c>
      <c r="AR319" s="354">
        <v>0</v>
      </c>
      <c r="AS319" s="354">
        <v>0</v>
      </c>
      <c r="AT319" s="354">
        <v>0</v>
      </c>
      <c r="AU319" s="354">
        <v>0</v>
      </c>
      <c r="AV319" s="119">
        <f t="shared" si="1404"/>
        <v>0</v>
      </c>
      <c r="AW319" s="354">
        <v>0</v>
      </c>
      <c r="AX319" s="354">
        <v>0</v>
      </c>
      <c r="AY319" s="354">
        <v>0</v>
      </c>
      <c r="AZ319" s="354">
        <v>0</v>
      </c>
      <c r="BA319" s="119">
        <f t="shared" si="1405"/>
        <v>0</v>
      </c>
      <c r="BB319" s="354">
        <v>0</v>
      </c>
      <c r="BC319" s="354">
        <v>0</v>
      </c>
      <c r="BD319" s="354">
        <v>0</v>
      </c>
      <c r="BE319" s="354">
        <v>0</v>
      </c>
      <c r="BF319" s="119">
        <f t="shared" si="1406"/>
        <v>0</v>
      </c>
      <c r="BG319" s="354">
        <v>0</v>
      </c>
      <c r="BH319" s="354">
        <v>0</v>
      </c>
      <c r="BI319" s="354">
        <v>0</v>
      </c>
      <c r="BJ319" s="354">
        <v>0</v>
      </c>
      <c r="BK319" s="119">
        <f t="shared" si="1407"/>
        <v>0</v>
      </c>
      <c r="BL319" s="354">
        <v>0</v>
      </c>
      <c r="BM319" s="354">
        <v>0</v>
      </c>
      <c r="BN319" s="354">
        <v>0</v>
      </c>
      <c r="BO319" s="120">
        <v>0</v>
      </c>
      <c r="BP319" s="119">
        <f t="shared" si="1408"/>
        <v>0</v>
      </c>
      <c r="BQ319" s="120">
        <v>0</v>
      </c>
      <c r="BR319" s="120">
        <v>0</v>
      </c>
      <c r="BS319" s="120">
        <v>1</v>
      </c>
      <c r="BT319" s="120">
        <v>1</v>
      </c>
      <c r="BU319" s="119">
        <f t="shared" si="1409"/>
        <v>1</v>
      </c>
      <c r="BV319" s="120">
        <v>1</v>
      </c>
      <c r="BW319" s="120">
        <v>1</v>
      </c>
      <c r="BX319" s="120">
        <v>2</v>
      </c>
      <c r="BY319" s="120">
        <v>3</v>
      </c>
      <c r="BZ319" s="119">
        <f t="shared" si="1410"/>
        <v>3</v>
      </c>
      <c r="CA319" s="120">
        <v>3</v>
      </c>
      <c r="CB319" s="120">
        <v>3</v>
      </c>
      <c r="CC319" s="120">
        <v>3</v>
      </c>
      <c r="CD319" s="120">
        <v>3</v>
      </c>
      <c r="CE319" s="119">
        <f t="shared" si="1411"/>
        <v>3</v>
      </c>
      <c r="CF319" s="120">
        <v>3</v>
      </c>
      <c r="CG319" s="120">
        <v>3</v>
      </c>
      <c r="CH319" s="120">
        <v>3</v>
      </c>
      <c r="CI319" s="120">
        <v>3</v>
      </c>
      <c r="CJ319" s="119">
        <f t="shared" si="1412"/>
        <v>3</v>
      </c>
      <c r="CK319" s="120">
        <v>3</v>
      </c>
      <c r="CL319" s="120">
        <v>3</v>
      </c>
      <c r="CM319" s="355">
        <v>3</v>
      </c>
      <c r="CN319" s="120">
        <v>4</v>
      </c>
      <c r="CO319" s="119">
        <f t="shared" si="1413"/>
        <v>4</v>
      </c>
      <c r="CP319" s="236">
        <v>4</v>
      </c>
      <c r="CQ319" s="217">
        <v>5</v>
      </c>
      <c r="CR319" s="217">
        <v>5</v>
      </c>
      <c r="CS319" s="217">
        <v>6</v>
      </c>
      <c r="CT319" s="216">
        <f t="shared" si="1414"/>
        <v>6</v>
      </c>
      <c r="CU319" s="217">
        <v>6</v>
      </c>
      <c r="CV319" s="217">
        <v>6</v>
      </c>
      <c r="CW319" s="217">
        <v>6</v>
      </c>
      <c r="CX319" s="217">
        <v>6</v>
      </c>
      <c r="CY319" s="216">
        <f t="shared" si="1415"/>
        <v>6</v>
      </c>
      <c r="CZ319" s="217">
        <v>6</v>
      </c>
      <c r="DA319" s="217">
        <v>6</v>
      </c>
      <c r="DB319" s="217">
        <v>6</v>
      </c>
      <c r="DC319" s="217">
        <v>6</v>
      </c>
      <c r="DD319" s="216">
        <f t="shared" si="1416"/>
        <v>6</v>
      </c>
      <c r="DE319" s="217">
        <v>6</v>
      </c>
      <c r="DF319" s="217">
        <v>6</v>
      </c>
      <c r="DG319" s="217"/>
      <c r="DH319" s="217"/>
      <c r="DI319" s="119"/>
      <c r="DJ319" s="120"/>
      <c r="DK319" s="120"/>
      <c r="DL319" s="120"/>
      <c r="DM319" s="120"/>
      <c r="DN319" s="119"/>
      <c r="DO319" s="120"/>
      <c r="DP319" s="120"/>
      <c r="DQ319" s="120"/>
      <c r="DR319" s="120"/>
      <c r="DS319" s="119"/>
    </row>
    <row r="320" hidden="1" outlineLevel="1" spans="2:123">
      <c r="B320" s="179" t="s">
        <v>419</v>
      </c>
      <c r="C320" s="119"/>
      <c r="D320" s="120"/>
      <c r="E320" s="120"/>
      <c r="F320" s="120"/>
      <c r="G320" s="120"/>
      <c r="H320" s="119"/>
      <c r="I320" s="120"/>
      <c r="J320" s="120"/>
      <c r="K320" s="120"/>
      <c r="L320" s="120"/>
      <c r="M320" s="119"/>
      <c r="N320" s="120"/>
      <c r="O320" s="120"/>
      <c r="P320" s="120"/>
      <c r="Q320" s="354">
        <v>0</v>
      </c>
      <c r="R320" s="215">
        <f t="shared" si="1398"/>
        <v>0</v>
      </c>
      <c r="S320" s="354">
        <v>0</v>
      </c>
      <c r="T320" s="354">
        <v>0</v>
      </c>
      <c r="U320" s="354">
        <v>0</v>
      </c>
      <c r="V320" s="354">
        <v>0</v>
      </c>
      <c r="W320" s="215">
        <f t="shared" si="1399"/>
        <v>0</v>
      </c>
      <c r="X320" s="354">
        <v>0</v>
      </c>
      <c r="Y320" s="354">
        <v>0</v>
      </c>
      <c r="Z320" s="354">
        <v>0</v>
      </c>
      <c r="AA320" s="354">
        <v>0</v>
      </c>
      <c r="AB320" s="215">
        <f t="shared" si="1400"/>
        <v>0</v>
      </c>
      <c r="AC320" s="354">
        <v>0</v>
      </c>
      <c r="AD320" s="354">
        <v>0</v>
      </c>
      <c r="AE320" s="354">
        <v>0</v>
      </c>
      <c r="AF320" s="354">
        <v>0</v>
      </c>
      <c r="AG320" s="119">
        <f t="shared" si="1401"/>
        <v>0</v>
      </c>
      <c r="AH320" s="354">
        <v>0</v>
      </c>
      <c r="AI320" s="354">
        <v>0</v>
      </c>
      <c r="AJ320" s="354">
        <v>0</v>
      </c>
      <c r="AK320" s="354">
        <v>0</v>
      </c>
      <c r="AL320" s="119">
        <f t="shared" si="1402"/>
        <v>0</v>
      </c>
      <c r="AM320" s="354">
        <v>0</v>
      </c>
      <c r="AN320" s="354">
        <v>0</v>
      </c>
      <c r="AO320" s="354">
        <v>0</v>
      </c>
      <c r="AP320" s="354">
        <v>0</v>
      </c>
      <c r="AQ320" s="119">
        <f t="shared" si="1403"/>
        <v>0</v>
      </c>
      <c r="AR320" s="354">
        <v>0</v>
      </c>
      <c r="AS320" s="354">
        <v>0</v>
      </c>
      <c r="AT320" s="354">
        <v>0</v>
      </c>
      <c r="AU320" s="354">
        <v>0</v>
      </c>
      <c r="AV320" s="119">
        <f t="shared" si="1404"/>
        <v>0</v>
      </c>
      <c r="AW320" s="354">
        <v>0</v>
      </c>
      <c r="AX320" s="354">
        <v>0</v>
      </c>
      <c r="AY320" s="354">
        <v>0</v>
      </c>
      <c r="AZ320" s="354">
        <v>0</v>
      </c>
      <c r="BA320" s="119">
        <f t="shared" si="1405"/>
        <v>0</v>
      </c>
      <c r="BB320" s="354">
        <v>0</v>
      </c>
      <c r="BC320" s="354">
        <v>0</v>
      </c>
      <c r="BD320" s="354">
        <v>0</v>
      </c>
      <c r="BE320" s="354">
        <v>0</v>
      </c>
      <c r="BF320" s="119">
        <f t="shared" si="1406"/>
        <v>0</v>
      </c>
      <c r="BG320" s="354">
        <v>0</v>
      </c>
      <c r="BH320" s="354">
        <v>0</v>
      </c>
      <c r="BI320" s="354">
        <v>0</v>
      </c>
      <c r="BJ320" s="354">
        <v>0</v>
      </c>
      <c r="BK320" s="119">
        <f t="shared" si="1407"/>
        <v>0</v>
      </c>
      <c r="BL320" s="354">
        <v>0</v>
      </c>
      <c r="BM320" s="354">
        <v>0</v>
      </c>
      <c r="BN320" s="354">
        <v>0</v>
      </c>
      <c r="BO320" s="120">
        <v>0</v>
      </c>
      <c r="BP320" s="119">
        <f t="shared" si="1408"/>
        <v>0</v>
      </c>
      <c r="BQ320" s="120">
        <v>0</v>
      </c>
      <c r="BR320" s="120">
        <v>0</v>
      </c>
      <c r="BS320" s="120">
        <v>0</v>
      </c>
      <c r="BT320" s="120">
        <v>0</v>
      </c>
      <c r="BU320" s="119">
        <f t="shared" si="1409"/>
        <v>0</v>
      </c>
      <c r="BV320" s="120">
        <v>0</v>
      </c>
      <c r="BW320" s="120">
        <v>0</v>
      </c>
      <c r="BX320" s="120">
        <v>0</v>
      </c>
      <c r="BY320" s="120">
        <v>0</v>
      </c>
      <c r="BZ320" s="119">
        <f t="shared" si="1410"/>
        <v>0</v>
      </c>
      <c r="CA320" s="120">
        <v>0</v>
      </c>
      <c r="CB320" s="120">
        <v>0</v>
      </c>
      <c r="CC320" s="120">
        <v>0</v>
      </c>
      <c r="CD320" s="120">
        <v>0</v>
      </c>
      <c r="CE320" s="119">
        <f t="shared" si="1411"/>
        <v>0</v>
      </c>
      <c r="CF320" s="120">
        <v>0</v>
      </c>
      <c r="CG320" s="120">
        <v>0</v>
      </c>
      <c r="CH320" s="120">
        <v>0</v>
      </c>
      <c r="CI320" s="120">
        <v>0</v>
      </c>
      <c r="CJ320" s="119">
        <f t="shared" si="1412"/>
        <v>0</v>
      </c>
      <c r="CK320" s="120">
        <v>0</v>
      </c>
      <c r="CL320" s="120">
        <v>0</v>
      </c>
      <c r="CM320" s="355">
        <v>2</v>
      </c>
      <c r="CN320" s="120">
        <v>3</v>
      </c>
      <c r="CO320" s="119">
        <f t="shared" si="1413"/>
        <v>3</v>
      </c>
      <c r="CP320" s="236">
        <v>3</v>
      </c>
      <c r="CQ320" s="217">
        <v>3</v>
      </c>
      <c r="CR320" s="217">
        <v>3</v>
      </c>
      <c r="CS320" s="217">
        <v>3</v>
      </c>
      <c r="CT320" s="216">
        <f t="shared" si="1414"/>
        <v>3</v>
      </c>
      <c r="CU320" s="217">
        <v>3</v>
      </c>
      <c r="CV320" s="217">
        <v>3</v>
      </c>
      <c r="CW320" s="217">
        <v>3</v>
      </c>
      <c r="CX320" s="217">
        <v>3</v>
      </c>
      <c r="CY320" s="216">
        <f t="shared" si="1415"/>
        <v>3</v>
      </c>
      <c r="CZ320" s="217">
        <v>3</v>
      </c>
      <c r="DA320" s="217">
        <v>3</v>
      </c>
      <c r="DB320" s="217">
        <v>3</v>
      </c>
      <c r="DC320" s="217">
        <v>3</v>
      </c>
      <c r="DD320" s="216">
        <f t="shared" si="1416"/>
        <v>3</v>
      </c>
      <c r="DE320" s="217">
        <v>3</v>
      </c>
      <c r="DF320" s="217">
        <v>3</v>
      </c>
      <c r="DG320" s="217"/>
      <c r="DH320" s="217"/>
      <c r="DI320" s="119"/>
      <c r="DJ320" s="120"/>
      <c r="DK320" s="120"/>
      <c r="DL320" s="120"/>
      <c r="DM320" s="120"/>
      <c r="DN320" s="119"/>
      <c r="DO320" s="120"/>
      <c r="DP320" s="120"/>
      <c r="DQ320" s="120"/>
      <c r="DR320" s="120"/>
      <c r="DS320" s="119"/>
    </row>
    <row r="321" hidden="1" outlineLevel="1" spans="2:123">
      <c r="B321" s="179" t="s">
        <v>420</v>
      </c>
      <c r="C321" s="119"/>
      <c r="D321" s="120"/>
      <c r="E321" s="120"/>
      <c r="F321" s="120"/>
      <c r="G321" s="120"/>
      <c r="H321" s="119"/>
      <c r="I321" s="120"/>
      <c r="J321" s="120"/>
      <c r="K321" s="120"/>
      <c r="L321" s="120"/>
      <c r="M321" s="119"/>
      <c r="N321" s="120"/>
      <c r="O321" s="120"/>
      <c r="P321" s="120"/>
      <c r="Q321" s="354">
        <v>0</v>
      </c>
      <c r="R321" s="215">
        <f t="shared" si="1398"/>
        <v>0</v>
      </c>
      <c r="S321" s="354">
        <v>0</v>
      </c>
      <c r="T321" s="354">
        <v>0</v>
      </c>
      <c r="U321" s="354">
        <v>0</v>
      </c>
      <c r="V321" s="354">
        <v>0</v>
      </c>
      <c r="W321" s="215">
        <f t="shared" si="1399"/>
        <v>0</v>
      </c>
      <c r="X321" s="354">
        <v>0</v>
      </c>
      <c r="Y321" s="354">
        <v>0</v>
      </c>
      <c r="Z321" s="354">
        <v>0</v>
      </c>
      <c r="AA321" s="354">
        <v>0</v>
      </c>
      <c r="AB321" s="215">
        <f t="shared" si="1400"/>
        <v>0</v>
      </c>
      <c r="AC321" s="354">
        <v>0</v>
      </c>
      <c r="AD321" s="354">
        <v>0</v>
      </c>
      <c r="AE321" s="354">
        <v>0</v>
      </c>
      <c r="AF321" s="354">
        <v>0</v>
      </c>
      <c r="AG321" s="119">
        <f t="shared" si="1401"/>
        <v>0</v>
      </c>
      <c r="AH321" s="354">
        <v>0</v>
      </c>
      <c r="AI321" s="354">
        <v>0</v>
      </c>
      <c r="AJ321" s="354">
        <v>0</v>
      </c>
      <c r="AK321" s="354">
        <v>0</v>
      </c>
      <c r="AL321" s="119">
        <f t="shared" si="1402"/>
        <v>0</v>
      </c>
      <c r="AM321" s="354">
        <v>0</v>
      </c>
      <c r="AN321" s="354">
        <v>0</v>
      </c>
      <c r="AO321" s="354">
        <v>0</v>
      </c>
      <c r="AP321" s="354">
        <v>0</v>
      </c>
      <c r="AQ321" s="119">
        <f t="shared" si="1403"/>
        <v>0</v>
      </c>
      <c r="AR321" s="354">
        <v>0</v>
      </c>
      <c r="AS321" s="354">
        <v>0</v>
      </c>
      <c r="AT321" s="354">
        <v>0</v>
      </c>
      <c r="AU321" s="354">
        <v>0</v>
      </c>
      <c r="AV321" s="119">
        <f t="shared" si="1404"/>
        <v>0</v>
      </c>
      <c r="AW321" s="354">
        <v>0</v>
      </c>
      <c r="AX321" s="354">
        <v>0</v>
      </c>
      <c r="AY321" s="354">
        <v>0</v>
      </c>
      <c r="AZ321" s="354">
        <v>0</v>
      </c>
      <c r="BA321" s="119">
        <f t="shared" si="1405"/>
        <v>0</v>
      </c>
      <c r="BB321" s="354">
        <v>0</v>
      </c>
      <c r="BC321" s="354">
        <v>0</v>
      </c>
      <c r="BD321" s="354">
        <v>0</v>
      </c>
      <c r="BE321" s="354">
        <v>0</v>
      </c>
      <c r="BF321" s="119">
        <f t="shared" si="1406"/>
        <v>0</v>
      </c>
      <c r="BG321" s="354">
        <v>0</v>
      </c>
      <c r="BH321" s="354">
        <v>0</v>
      </c>
      <c r="BI321" s="354">
        <v>0</v>
      </c>
      <c r="BJ321" s="354">
        <v>0</v>
      </c>
      <c r="BK321" s="119">
        <f t="shared" si="1407"/>
        <v>0</v>
      </c>
      <c r="BL321" s="354">
        <v>0</v>
      </c>
      <c r="BM321" s="354">
        <v>0</v>
      </c>
      <c r="BN321" s="354">
        <v>0</v>
      </c>
      <c r="BO321" s="120">
        <v>0</v>
      </c>
      <c r="BP321" s="119">
        <f t="shared" si="1408"/>
        <v>0</v>
      </c>
      <c r="BQ321" s="120">
        <v>0</v>
      </c>
      <c r="BR321" s="120">
        <v>0</v>
      </c>
      <c r="BS321" s="120">
        <v>0</v>
      </c>
      <c r="BT321" s="120">
        <v>0</v>
      </c>
      <c r="BU321" s="119">
        <f t="shared" si="1409"/>
        <v>0</v>
      </c>
      <c r="BV321" s="120">
        <v>1</v>
      </c>
      <c r="BW321" s="120">
        <v>1</v>
      </c>
      <c r="BX321" s="120">
        <v>1</v>
      </c>
      <c r="BY321" s="120">
        <v>1</v>
      </c>
      <c r="BZ321" s="119">
        <f t="shared" si="1410"/>
        <v>1</v>
      </c>
      <c r="CA321" s="120">
        <v>1</v>
      </c>
      <c r="CB321" s="120">
        <v>1</v>
      </c>
      <c r="CC321" s="120">
        <v>1</v>
      </c>
      <c r="CD321" s="120">
        <v>1</v>
      </c>
      <c r="CE321" s="119">
        <f t="shared" si="1411"/>
        <v>1</v>
      </c>
      <c r="CF321" s="120">
        <v>1</v>
      </c>
      <c r="CG321" s="120">
        <v>1</v>
      </c>
      <c r="CH321" s="120">
        <v>1</v>
      </c>
      <c r="CI321" s="120">
        <v>1</v>
      </c>
      <c r="CJ321" s="119">
        <f t="shared" si="1412"/>
        <v>1</v>
      </c>
      <c r="CK321" s="120">
        <v>1</v>
      </c>
      <c r="CL321" s="120">
        <v>1</v>
      </c>
      <c r="CM321" s="355">
        <v>1</v>
      </c>
      <c r="CN321" s="120">
        <v>1</v>
      </c>
      <c r="CO321" s="119">
        <f t="shared" si="1413"/>
        <v>1</v>
      </c>
      <c r="CP321" s="236">
        <v>1</v>
      </c>
      <c r="CQ321" s="217">
        <v>1</v>
      </c>
      <c r="CR321" s="217">
        <v>2</v>
      </c>
      <c r="CS321" s="217">
        <v>2</v>
      </c>
      <c r="CT321" s="216">
        <f t="shared" si="1414"/>
        <v>2</v>
      </c>
      <c r="CU321" s="217">
        <v>2</v>
      </c>
      <c r="CV321" s="217">
        <v>2</v>
      </c>
      <c r="CW321" s="217">
        <v>2</v>
      </c>
      <c r="CX321" s="217">
        <v>2</v>
      </c>
      <c r="CY321" s="216">
        <f t="shared" si="1415"/>
        <v>2</v>
      </c>
      <c r="CZ321" s="217">
        <v>2</v>
      </c>
      <c r="DA321" s="217">
        <v>2</v>
      </c>
      <c r="DB321" s="217">
        <v>2</v>
      </c>
      <c r="DC321" s="217">
        <v>2</v>
      </c>
      <c r="DD321" s="216">
        <f t="shared" si="1416"/>
        <v>2</v>
      </c>
      <c r="DE321" s="217">
        <v>2</v>
      </c>
      <c r="DF321" s="217">
        <v>2</v>
      </c>
      <c r="DG321" s="217"/>
      <c r="DH321" s="217"/>
      <c r="DI321" s="119"/>
      <c r="DJ321" s="120"/>
      <c r="DK321" s="120"/>
      <c r="DL321" s="120"/>
      <c r="DM321" s="120"/>
      <c r="DN321" s="119"/>
      <c r="DO321" s="120"/>
      <c r="DP321" s="120"/>
      <c r="DQ321" s="120"/>
      <c r="DR321" s="120"/>
      <c r="DS321" s="119"/>
    </row>
    <row r="322" hidden="1" outlineLevel="1" spans="2:123">
      <c r="B322" s="179" t="s">
        <v>421</v>
      </c>
      <c r="C322" s="119"/>
      <c r="D322" s="120"/>
      <c r="E322" s="120"/>
      <c r="F322" s="120"/>
      <c r="G322" s="120"/>
      <c r="H322" s="119"/>
      <c r="I322" s="120"/>
      <c r="J322" s="120"/>
      <c r="K322" s="120"/>
      <c r="L322" s="120"/>
      <c r="M322" s="119"/>
      <c r="N322" s="120"/>
      <c r="O322" s="120"/>
      <c r="P322" s="120"/>
      <c r="Q322" s="354">
        <v>0</v>
      </c>
      <c r="R322" s="215">
        <f t="shared" si="1398"/>
        <v>0</v>
      </c>
      <c r="S322" s="354">
        <v>0</v>
      </c>
      <c r="T322" s="354">
        <v>0</v>
      </c>
      <c r="U322" s="354">
        <v>0</v>
      </c>
      <c r="V322" s="354">
        <v>0</v>
      </c>
      <c r="W322" s="215">
        <f t="shared" si="1399"/>
        <v>0</v>
      </c>
      <c r="X322" s="354">
        <v>0</v>
      </c>
      <c r="Y322" s="354">
        <v>0</v>
      </c>
      <c r="Z322" s="354">
        <v>0</v>
      </c>
      <c r="AA322" s="354">
        <v>0</v>
      </c>
      <c r="AB322" s="215">
        <f t="shared" si="1400"/>
        <v>0</v>
      </c>
      <c r="AC322" s="354">
        <v>0</v>
      </c>
      <c r="AD322" s="354">
        <v>0</v>
      </c>
      <c r="AE322" s="354">
        <v>0</v>
      </c>
      <c r="AF322" s="354">
        <v>0</v>
      </c>
      <c r="AG322" s="119">
        <f t="shared" si="1401"/>
        <v>0</v>
      </c>
      <c r="AH322" s="354">
        <v>0</v>
      </c>
      <c r="AI322" s="354">
        <v>0</v>
      </c>
      <c r="AJ322" s="354">
        <v>0</v>
      </c>
      <c r="AK322" s="354">
        <v>0</v>
      </c>
      <c r="AL322" s="119">
        <f t="shared" si="1402"/>
        <v>0</v>
      </c>
      <c r="AM322" s="354">
        <v>0</v>
      </c>
      <c r="AN322" s="354">
        <v>0</v>
      </c>
      <c r="AO322" s="354">
        <v>0</v>
      </c>
      <c r="AP322" s="354">
        <v>0</v>
      </c>
      <c r="AQ322" s="119">
        <f t="shared" si="1403"/>
        <v>0</v>
      </c>
      <c r="AR322" s="354">
        <v>0</v>
      </c>
      <c r="AS322" s="354">
        <v>0</v>
      </c>
      <c r="AT322" s="354">
        <v>0</v>
      </c>
      <c r="AU322" s="354">
        <v>0</v>
      </c>
      <c r="AV322" s="119">
        <f t="shared" si="1404"/>
        <v>0</v>
      </c>
      <c r="AW322" s="354">
        <v>0</v>
      </c>
      <c r="AX322" s="354">
        <v>0</v>
      </c>
      <c r="AY322" s="354">
        <v>0</v>
      </c>
      <c r="AZ322" s="354">
        <v>0</v>
      </c>
      <c r="BA322" s="119">
        <f t="shared" si="1405"/>
        <v>0</v>
      </c>
      <c r="BB322" s="354">
        <v>0</v>
      </c>
      <c r="BC322" s="354">
        <v>0</v>
      </c>
      <c r="BD322" s="354">
        <v>0</v>
      </c>
      <c r="BE322" s="354">
        <v>0</v>
      </c>
      <c r="BF322" s="119">
        <f t="shared" si="1406"/>
        <v>0</v>
      </c>
      <c r="BG322" s="354">
        <v>0</v>
      </c>
      <c r="BH322" s="354">
        <v>0</v>
      </c>
      <c r="BI322" s="354">
        <v>0</v>
      </c>
      <c r="BJ322" s="354">
        <v>0</v>
      </c>
      <c r="BK322" s="119">
        <f t="shared" si="1407"/>
        <v>0</v>
      </c>
      <c r="BL322" s="354">
        <v>0</v>
      </c>
      <c r="BM322" s="354">
        <v>0</v>
      </c>
      <c r="BN322" s="354">
        <v>0</v>
      </c>
      <c r="BO322" s="120">
        <v>0</v>
      </c>
      <c r="BP322" s="119">
        <f t="shared" si="1408"/>
        <v>0</v>
      </c>
      <c r="BQ322" s="120">
        <v>0</v>
      </c>
      <c r="BR322" s="120">
        <v>0</v>
      </c>
      <c r="BS322" s="120">
        <v>0</v>
      </c>
      <c r="BT322" s="120">
        <v>0</v>
      </c>
      <c r="BU322" s="119">
        <f t="shared" si="1409"/>
        <v>0</v>
      </c>
      <c r="BV322" s="120">
        <v>0</v>
      </c>
      <c r="BW322" s="120">
        <v>0</v>
      </c>
      <c r="BX322" s="120">
        <v>0</v>
      </c>
      <c r="BY322" s="120">
        <v>2</v>
      </c>
      <c r="BZ322" s="119">
        <f t="shared" si="1410"/>
        <v>2</v>
      </c>
      <c r="CA322" s="120">
        <v>2</v>
      </c>
      <c r="CB322" s="120">
        <v>2</v>
      </c>
      <c r="CC322" s="120">
        <v>2</v>
      </c>
      <c r="CD322" s="120">
        <v>2</v>
      </c>
      <c r="CE322" s="119">
        <f t="shared" si="1411"/>
        <v>2</v>
      </c>
      <c r="CF322" s="120">
        <v>2</v>
      </c>
      <c r="CG322" s="120">
        <v>2</v>
      </c>
      <c r="CH322" s="120">
        <v>2</v>
      </c>
      <c r="CI322" s="120">
        <v>2</v>
      </c>
      <c r="CJ322" s="119">
        <f t="shared" si="1412"/>
        <v>2</v>
      </c>
      <c r="CK322" s="120">
        <v>2</v>
      </c>
      <c r="CL322" s="120">
        <v>2</v>
      </c>
      <c r="CM322" s="355">
        <v>2</v>
      </c>
      <c r="CN322" s="120">
        <v>2</v>
      </c>
      <c r="CO322" s="119">
        <f t="shared" si="1413"/>
        <v>2</v>
      </c>
      <c r="CP322" s="236">
        <v>2</v>
      </c>
      <c r="CQ322" s="217">
        <v>2</v>
      </c>
      <c r="CR322" s="217">
        <v>2</v>
      </c>
      <c r="CS322" s="217">
        <v>3</v>
      </c>
      <c r="CT322" s="216">
        <f t="shared" si="1414"/>
        <v>3</v>
      </c>
      <c r="CU322" s="217">
        <v>3</v>
      </c>
      <c r="CV322" s="217">
        <v>4</v>
      </c>
      <c r="CW322" s="217">
        <v>5</v>
      </c>
      <c r="CX322" s="217">
        <v>5</v>
      </c>
      <c r="CY322" s="216">
        <f t="shared" si="1415"/>
        <v>5</v>
      </c>
      <c r="CZ322" s="217">
        <v>5</v>
      </c>
      <c r="DA322" s="217">
        <v>5</v>
      </c>
      <c r="DB322" s="217">
        <v>5</v>
      </c>
      <c r="DC322" s="217">
        <v>5</v>
      </c>
      <c r="DD322" s="216">
        <f t="shared" si="1416"/>
        <v>5</v>
      </c>
      <c r="DE322" s="217">
        <v>5</v>
      </c>
      <c r="DF322" s="217">
        <v>5</v>
      </c>
      <c r="DG322" s="217"/>
      <c r="DH322" s="217"/>
      <c r="DI322" s="119"/>
      <c r="DJ322" s="120"/>
      <c r="DK322" s="120"/>
      <c r="DL322" s="120"/>
      <c r="DM322" s="120"/>
      <c r="DN322" s="119"/>
      <c r="DO322" s="120"/>
      <c r="DP322" s="120"/>
      <c r="DQ322" s="120"/>
      <c r="DR322" s="120"/>
      <c r="DS322" s="119"/>
    </row>
    <row r="323" hidden="1" outlineLevel="1" spans="2:123">
      <c r="B323" s="179" t="s">
        <v>422</v>
      </c>
      <c r="C323" s="119"/>
      <c r="D323" s="120"/>
      <c r="E323" s="120"/>
      <c r="F323" s="120"/>
      <c r="G323" s="120"/>
      <c r="H323" s="119"/>
      <c r="I323" s="120"/>
      <c r="J323" s="120"/>
      <c r="K323" s="120"/>
      <c r="L323" s="120"/>
      <c r="M323" s="119"/>
      <c r="N323" s="120"/>
      <c r="O323" s="120"/>
      <c r="P323" s="120"/>
      <c r="Q323" s="354">
        <v>0</v>
      </c>
      <c r="R323" s="215">
        <f t="shared" si="1398"/>
        <v>0</v>
      </c>
      <c r="S323" s="354">
        <v>0</v>
      </c>
      <c r="T323" s="354">
        <v>0</v>
      </c>
      <c r="U323" s="354">
        <v>0</v>
      </c>
      <c r="V323" s="354">
        <v>0</v>
      </c>
      <c r="W323" s="215">
        <f t="shared" si="1399"/>
        <v>0</v>
      </c>
      <c r="X323" s="354">
        <v>0</v>
      </c>
      <c r="Y323" s="354">
        <v>0</v>
      </c>
      <c r="Z323" s="354">
        <v>0</v>
      </c>
      <c r="AA323" s="354">
        <v>0</v>
      </c>
      <c r="AB323" s="215">
        <f t="shared" si="1400"/>
        <v>0</v>
      </c>
      <c r="AC323" s="354">
        <v>0</v>
      </c>
      <c r="AD323" s="354">
        <v>0</v>
      </c>
      <c r="AE323" s="354">
        <v>0</v>
      </c>
      <c r="AF323" s="354">
        <v>0</v>
      </c>
      <c r="AG323" s="119">
        <f t="shared" si="1401"/>
        <v>0</v>
      </c>
      <c r="AH323" s="354">
        <v>0</v>
      </c>
      <c r="AI323" s="354">
        <v>0</v>
      </c>
      <c r="AJ323" s="354">
        <v>0</v>
      </c>
      <c r="AK323" s="354">
        <v>0</v>
      </c>
      <c r="AL323" s="119">
        <f t="shared" si="1402"/>
        <v>0</v>
      </c>
      <c r="AM323" s="354">
        <v>0</v>
      </c>
      <c r="AN323" s="354">
        <v>0</v>
      </c>
      <c r="AO323" s="354">
        <v>0</v>
      </c>
      <c r="AP323" s="354">
        <v>0</v>
      </c>
      <c r="AQ323" s="119">
        <f t="shared" si="1403"/>
        <v>0</v>
      </c>
      <c r="AR323" s="354">
        <v>0</v>
      </c>
      <c r="AS323" s="354">
        <v>0</v>
      </c>
      <c r="AT323" s="354">
        <v>0</v>
      </c>
      <c r="AU323" s="354">
        <v>0</v>
      </c>
      <c r="AV323" s="119">
        <f t="shared" si="1404"/>
        <v>0</v>
      </c>
      <c r="AW323" s="354">
        <v>0</v>
      </c>
      <c r="AX323" s="354">
        <v>0</v>
      </c>
      <c r="AY323" s="354">
        <v>0</v>
      </c>
      <c r="AZ323" s="354">
        <v>0</v>
      </c>
      <c r="BA323" s="119">
        <f t="shared" si="1405"/>
        <v>0</v>
      </c>
      <c r="BB323" s="354">
        <v>0</v>
      </c>
      <c r="BC323" s="354">
        <v>0</v>
      </c>
      <c r="BD323" s="354">
        <v>0</v>
      </c>
      <c r="BE323" s="354">
        <v>0</v>
      </c>
      <c r="BF323" s="119">
        <f t="shared" si="1406"/>
        <v>0</v>
      </c>
      <c r="BG323" s="354">
        <v>0</v>
      </c>
      <c r="BH323" s="354">
        <v>0</v>
      </c>
      <c r="BI323" s="354">
        <v>0</v>
      </c>
      <c r="BJ323" s="354">
        <v>0</v>
      </c>
      <c r="BK323" s="119">
        <f t="shared" si="1407"/>
        <v>0</v>
      </c>
      <c r="BL323" s="354">
        <v>0</v>
      </c>
      <c r="BM323" s="354">
        <v>0</v>
      </c>
      <c r="BN323" s="354">
        <v>0</v>
      </c>
      <c r="BO323" s="120">
        <v>0</v>
      </c>
      <c r="BP323" s="119">
        <f t="shared" si="1408"/>
        <v>0</v>
      </c>
      <c r="BQ323" s="120">
        <v>0</v>
      </c>
      <c r="BR323" s="120">
        <v>0</v>
      </c>
      <c r="BS323" s="120">
        <v>0</v>
      </c>
      <c r="BT323" s="120">
        <v>0</v>
      </c>
      <c r="BU323" s="119">
        <f t="shared" si="1409"/>
        <v>0</v>
      </c>
      <c r="BV323" s="120">
        <v>0</v>
      </c>
      <c r="BW323" s="120">
        <v>0</v>
      </c>
      <c r="BX323" s="120">
        <v>0</v>
      </c>
      <c r="BY323" s="120">
        <v>1</v>
      </c>
      <c r="BZ323" s="119">
        <f t="shared" si="1410"/>
        <v>1</v>
      </c>
      <c r="CA323" s="120">
        <v>1</v>
      </c>
      <c r="CB323" s="120">
        <v>1</v>
      </c>
      <c r="CC323" s="120">
        <v>1</v>
      </c>
      <c r="CD323" s="120">
        <v>1</v>
      </c>
      <c r="CE323" s="119">
        <f t="shared" si="1411"/>
        <v>1</v>
      </c>
      <c r="CF323" s="120">
        <v>1</v>
      </c>
      <c r="CG323" s="120">
        <v>1</v>
      </c>
      <c r="CH323" s="120">
        <v>1</v>
      </c>
      <c r="CI323" s="120">
        <v>1</v>
      </c>
      <c r="CJ323" s="119">
        <f t="shared" si="1412"/>
        <v>1</v>
      </c>
      <c r="CK323" s="120">
        <v>1</v>
      </c>
      <c r="CL323" s="120">
        <v>1</v>
      </c>
      <c r="CM323" s="355">
        <v>1</v>
      </c>
      <c r="CN323" s="120">
        <v>1</v>
      </c>
      <c r="CO323" s="119">
        <f t="shared" si="1413"/>
        <v>1</v>
      </c>
      <c r="CP323" s="236">
        <v>1</v>
      </c>
      <c r="CQ323" s="217">
        <v>1</v>
      </c>
      <c r="CR323" s="217">
        <v>1</v>
      </c>
      <c r="CS323" s="217">
        <v>1</v>
      </c>
      <c r="CT323" s="216">
        <f t="shared" si="1414"/>
        <v>1</v>
      </c>
      <c r="CU323" s="217">
        <v>1</v>
      </c>
      <c r="CV323" s="217">
        <v>1</v>
      </c>
      <c r="CW323" s="217">
        <v>1</v>
      </c>
      <c r="CX323" s="217">
        <v>1</v>
      </c>
      <c r="CY323" s="216">
        <f t="shared" si="1415"/>
        <v>1</v>
      </c>
      <c r="CZ323" s="217">
        <v>1</v>
      </c>
      <c r="DA323" s="217">
        <v>1</v>
      </c>
      <c r="DB323" s="217">
        <v>1</v>
      </c>
      <c r="DC323" s="217">
        <v>1</v>
      </c>
      <c r="DD323" s="216">
        <f t="shared" si="1416"/>
        <v>1</v>
      </c>
      <c r="DE323" s="217">
        <v>1</v>
      </c>
      <c r="DF323" s="217">
        <v>1</v>
      </c>
      <c r="DG323" s="217"/>
      <c r="DH323" s="217"/>
      <c r="DI323" s="119"/>
      <c r="DJ323" s="120"/>
      <c r="DK323" s="120"/>
      <c r="DL323" s="120"/>
      <c r="DM323" s="120"/>
      <c r="DN323" s="119"/>
      <c r="DO323" s="120"/>
      <c r="DP323" s="120"/>
      <c r="DQ323" s="120"/>
      <c r="DR323" s="120"/>
      <c r="DS323" s="119"/>
    </row>
    <row r="324" hidden="1" outlineLevel="1" spans="2:123">
      <c r="B324" s="179" t="s">
        <v>423</v>
      </c>
      <c r="C324" s="119"/>
      <c r="D324" s="120"/>
      <c r="E324" s="120"/>
      <c r="F324" s="120"/>
      <c r="G324" s="120"/>
      <c r="H324" s="119"/>
      <c r="I324" s="120"/>
      <c r="J324" s="120"/>
      <c r="K324" s="120"/>
      <c r="L324" s="120"/>
      <c r="M324" s="119"/>
      <c r="N324" s="120"/>
      <c r="O324" s="120"/>
      <c r="P324" s="120"/>
      <c r="Q324" s="354">
        <v>0</v>
      </c>
      <c r="R324" s="215">
        <f t="shared" si="1398"/>
        <v>0</v>
      </c>
      <c r="S324" s="354">
        <v>0</v>
      </c>
      <c r="T324" s="354">
        <v>0</v>
      </c>
      <c r="U324" s="354">
        <v>0</v>
      </c>
      <c r="V324" s="354">
        <v>0</v>
      </c>
      <c r="W324" s="215">
        <f t="shared" si="1399"/>
        <v>0</v>
      </c>
      <c r="X324" s="354">
        <v>0</v>
      </c>
      <c r="Y324" s="354">
        <v>0</v>
      </c>
      <c r="Z324" s="354">
        <v>0</v>
      </c>
      <c r="AA324" s="354">
        <v>0</v>
      </c>
      <c r="AB324" s="215">
        <f t="shared" si="1400"/>
        <v>0</v>
      </c>
      <c r="AC324" s="354">
        <v>0</v>
      </c>
      <c r="AD324" s="354">
        <v>0</v>
      </c>
      <c r="AE324" s="354">
        <v>0</v>
      </c>
      <c r="AF324" s="354">
        <v>0</v>
      </c>
      <c r="AG324" s="119">
        <f t="shared" si="1401"/>
        <v>0</v>
      </c>
      <c r="AH324" s="354">
        <v>0</v>
      </c>
      <c r="AI324" s="354">
        <v>0</v>
      </c>
      <c r="AJ324" s="354">
        <v>0</v>
      </c>
      <c r="AK324" s="354">
        <v>0</v>
      </c>
      <c r="AL324" s="119">
        <f t="shared" si="1402"/>
        <v>0</v>
      </c>
      <c r="AM324" s="354">
        <v>0</v>
      </c>
      <c r="AN324" s="354">
        <v>0</v>
      </c>
      <c r="AO324" s="354">
        <v>0</v>
      </c>
      <c r="AP324" s="354">
        <v>0</v>
      </c>
      <c r="AQ324" s="119">
        <f t="shared" si="1403"/>
        <v>0</v>
      </c>
      <c r="AR324" s="354">
        <v>0</v>
      </c>
      <c r="AS324" s="354">
        <v>0</v>
      </c>
      <c r="AT324" s="354">
        <v>0</v>
      </c>
      <c r="AU324" s="354">
        <v>0</v>
      </c>
      <c r="AV324" s="119">
        <f t="shared" si="1404"/>
        <v>0</v>
      </c>
      <c r="AW324" s="354">
        <v>0</v>
      </c>
      <c r="AX324" s="354">
        <v>0</v>
      </c>
      <c r="AY324" s="354">
        <v>0</v>
      </c>
      <c r="AZ324" s="354">
        <v>0</v>
      </c>
      <c r="BA324" s="119">
        <f t="shared" si="1405"/>
        <v>0</v>
      </c>
      <c r="BB324" s="354">
        <v>0</v>
      </c>
      <c r="BC324" s="354">
        <v>0</v>
      </c>
      <c r="BD324" s="354">
        <v>0</v>
      </c>
      <c r="BE324" s="354">
        <v>0</v>
      </c>
      <c r="BF324" s="119">
        <f t="shared" si="1406"/>
        <v>0</v>
      </c>
      <c r="BG324" s="354">
        <v>0</v>
      </c>
      <c r="BH324" s="354">
        <v>0</v>
      </c>
      <c r="BI324" s="354">
        <v>0</v>
      </c>
      <c r="BJ324" s="354">
        <v>0</v>
      </c>
      <c r="BK324" s="119">
        <f t="shared" si="1407"/>
        <v>0</v>
      </c>
      <c r="BL324" s="354">
        <v>0</v>
      </c>
      <c r="BM324" s="354">
        <v>0</v>
      </c>
      <c r="BN324" s="354">
        <v>0</v>
      </c>
      <c r="BO324" s="120">
        <v>0</v>
      </c>
      <c r="BP324" s="119">
        <f t="shared" si="1408"/>
        <v>0</v>
      </c>
      <c r="BQ324" s="120">
        <v>0</v>
      </c>
      <c r="BR324" s="120">
        <v>0</v>
      </c>
      <c r="BS324" s="120">
        <v>0</v>
      </c>
      <c r="BT324" s="120">
        <v>0</v>
      </c>
      <c r="BU324" s="119">
        <f t="shared" si="1409"/>
        <v>0</v>
      </c>
      <c r="BV324" s="120">
        <v>0</v>
      </c>
      <c r="BW324" s="120">
        <v>0</v>
      </c>
      <c r="BX324" s="120">
        <v>0</v>
      </c>
      <c r="BY324" s="120">
        <v>0</v>
      </c>
      <c r="BZ324" s="119">
        <f t="shared" si="1410"/>
        <v>0</v>
      </c>
      <c r="CA324" s="120">
        <v>0</v>
      </c>
      <c r="CB324" s="120">
        <v>0</v>
      </c>
      <c r="CC324" s="120">
        <v>0</v>
      </c>
      <c r="CD324" s="120">
        <v>0</v>
      </c>
      <c r="CE324" s="119">
        <f t="shared" si="1411"/>
        <v>0</v>
      </c>
      <c r="CF324" s="120">
        <v>0</v>
      </c>
      <c r="CG324" s="120">
        <v>0</v>
      </c>
      <c r="CH324" s="120">
        <v>0</v>
      </c>
      <c r="CI324" s="120">
        <v>0</v>
      </c>
      <c r="CJ324" s="119">
        <f t="shared" si="1412"/>
        <v>0</v>
      </c>
      <c r="CK324" s="120">
        <v>0</v>
      </c>
      <c r="CL324" s="120">
        <v>0</v>
      </c>
      <c r="CM324" s="355">
        <v>0</v>
      </c>
      <c r="CN324" s="120">
        <v>0</v>
      </c>
      <c r="CO324" s="119">
        <f t="shared" si="1413"/>
        <v>0</v>
      </c>
      <c r="CP324" s="236">
        <v>0</v>
      </c>
      <c r="CQ324" s="217">
        <v>1</v>
      </c>
      <c r="CR324" s="217">
        <v>1</v>
      </c>
      <c r="CS324" s="217">
        <v>1</v>
      </c>
      <c r="CT324" s="216">
        <f t="shared" si="1414"/>
        <v>1</v>
      </c>
      <c r="CU324" s="217">
        <v>1</v>
      </c>
      <c r="CV324" s="217">
        <v>2</v>
      </c>
      <c r="CW324" s="217">
        <v>3</v>
      </c>
      <c r="CX324" s="217">
        <v>4</v>
      </c>
      <c r="CY324" s="216">
        <f t="shared" si="1415"/>
        <v>4</v>
      </c>
      <c r="CZ324" s="217">
        <v>4</v>
      </c>
      <c r="DA324" s="217">
        <v>4</v>
      </c>
      <c r="DB324" s="217">
        <v>5</v>
      </c>
      <c r="DC324" s="217">
        <v>5</v>
      </c>
      <c r="DD324" s="216">
        <f t="shared" si="1416"/>
        <v>5</v>
      </c>
      <c r="DE324" s="217">
        <v>7</v>
      </c>
      <c r="DF324" s="217">
        <v>7</v>
      </c>
      <c r="DG324" s="217"/>
      <c r="DH324" s="217"/>
      <c r="DI324" s="119"/>
      <c r="DJ324" s="120"/>
      <c r="DK324" s="120"/>
      <c r="DL324" s="120"/>
      <c r="DM324" s="120"/>
      <c r="DN324" s="119"/>
      <c r="DO324" s="120"/>
      <c r="DP324" s="120"/>
      <c r="DQ324" s="120"/>
      <c r="DR324" s="120"/>
      <c r="DS324" s="119"/>
    </row>
    <row r="325" hidden="1" outlineLevel="1" spans="2:123">
      <c r="B325" s="179" t="s">
        <v>424</v>
      </c>
      <c r="C325" s="119"/>
      <c r="D325" s="120"/>
      <c r="E325" s="120"/>
      <c r="F325" s="120"/>
      <c r="G325" s="120"/>
      <c r="H325" s="119"/>
      <c r="I325" s="120"/>
      <c r="J325" s="120"/>
      <c r="K325" s="120"/>
      <c r="L325" s="120"/>
      <c r="M325" s="119"/>
      <c r="N325" s="120"/>
      <c r="O325" s="120"/>
      <c r="P325" s="120"/>
      <c r="Q325" s="354">
        <v>0</v>
      </c>
      <c r="R325" s="215">
        <f t="shared" si="1398"/>
        <v>0</v>
      </c>
      <c r="S325" s="354">
        <v>0</v>
      </c>
      <c r="T325" s="354">
        <v>0</v>
      </c>
      <c r="U325" s="354">
        <v>0</v>
      </c>
      <c r="V325" s="354">
        <v>0</v>
      </c>
      <c r="W325" s="215">
        <f t="shared" si="1399"/>
        <v>0</v>
      </c>
      <c r="X325" s="354">
        <v>0</v>
      </c>
      <c r="Y325" s="354">
        <v>0</v>
      </c>
      <c r="Z325" s="354">
        <v>0</v>
      </c>
      <c r="AA325" s="354">
        <v>0</v>
      </c>
      <c r="AB325" s="215">
        <f t="shared" si="1400"/>
        <v>0</v>
      </c>
      <c r="AC325" s="354">
        <v>0</v>
      </c>
      <c r="AD325" s="354">
        <v>0</v>
      </c>
      <c r="AE325" s="354">
        <v>0</v>
      </c>
      <c r="AF325" s="354">
        <v>0</v>
      </c>
      <c r="AG325" s="119">
        <f t="shared" si="1401"/>
        <v>0</v>
      </c>
      <c r="AH325" s="354">
        <v>0</v>
      </c>
      <c r="AI325" s="354">
        <v>0</v>
      </c>
      <c r="AJ325" s="354">
        <v>0</v>
      </c>
      <c r="AK325" s="354">
        <v>0</v>
      </c>
      <c r="AL325" s="119">
        <f t="shared" si="1402"/>
        <v>0</v>
      </c>
      <c r="AM325" s="354">
        <v>0</v>
      </c>
      <c r="AN325" s="354">
        <v>0</v>
      </c>
      <c r="AO325" s="354">
        <v>0</v>
      </c>
      <c r="AP325" s="354">
        <v>0</v>
      </c>
      <c r="AQ325" s="119">
        <f t="shared" si="1403"/>
        <v>0</v>
      </c>
      <c r="AR325" s="354">
        <v>0</v>
      </c>
      <c r="AS325" s="354">
        <v>0</v>
      </c>
      <c r="AT325" s="354">
        <v>0</v>
      </c>
      <c r="AU325" s="354">
        <v>0</v>
      </c>
      <c r="AV325" s="119">
        <f t="shared" si="1404"/>
        <v>0</v>
      </c>
      <c r="AW325" s="354">
        <v>0</v>
      </c>
      <c r="AX325" s="354">
        <v>0</v>
      </c>
      <c r="AY325" s="354">
        <v>0</v>
      </c>
      <c r="AZ325" s="354">
        <v>0</v>
      </c>
      <c r="BA325" s="119">
        <f t="shared" si="1405"/>
        <v>0</v>
      </c>
      <c r="BB325" s="354">
        <v>0</v>
      </c>
      <c r="BC325" s="354">
        <v>0</v>
      </c>
      <c r="BD325" s="354">
        <v>0</v>
      </c>
      <c r="BE325" s="354">
        <v>0</v>
      </c>
      <c r="BF325" s="119">
        <f t="shared" si="1406"/>
        <v>0</v>
      </c>
      <c r="BG325" s="354">
        <v>0</v>
      </c>
      <c r="BH325" s="354">
        <v>0</v>
      </c>
      <c r="BI325" s="354">
        <v>0</v>
      </c>
      <c r="BJ325" s="354">
        <v>0</v>
      </c>
      <c r="BK325" s="119">
        <f t="shared" si="1407"/>
        <v>0</v>
      </c>
      <c r="BL325" s="354">
        <v>0</v>
      </c>
      <c r="BM325" s="354">
        <v>0</v>
      </c>
      <c r="BN325" s="354">
        <v>0</v>
      </c>
      <c r="BO325" s="120">
        <v>0</v>
      </c>
      <c r="BP325" s="119">
        <f t="shared" si="1408"/>
        <v>0</v>
      </c>
      <c r="BQ325" s="120">
        <v>0</v>
      </c>
      <c r="BR325" s="120">
        <v>0</v>
      </c>
      <c r="BS325" s="120">
        <v>0</v>
      </c>
      <c r="BT325" s="120">
        <v>0</v>
      </c>
      <c r="BU325" s="119">
        <f t="shared" si="1409"/>
        <v>0</v>
      </c>
      <c r="BV325" s="120">
        <v>0</v>
      </c>
      <c r="BW325" s="120">
        <v>0</v>
      </c>
      <c r="BX325" s="120">
        <v>0</v>
      </c>
      <c r="BY325" s="120">
        <v>0</v>
      </c>
      <c r="BZ325" s="119">
        <f t="shared" si="1410"/>
        <v>0</v>
      </c>
      <c r="CA325" s="120">
        <v>0</v>
      </c>
      <c r="CB325" s="120">
        <v>0</v>
      </c>
      <c r="CC325" s="120">
        <v>0</v>
      </c>
      <c r="CD325" s="120">
        <v>0</v>
      </c>
      <c r="CE325" s="119">
        <f t="shared" si="1411"/>
        <v>0</v>
      </c>
      <c r="CF325" s="120">
        <v>0</v>
      </c>
      <c r="CG325" s="120">
        <v>0</v>
      </c>
      <c r="CH325" s="120">
        <v>0</v>
      </c>
      <c r="CI325" s="120">
        <v>0</v>
      </c>
      <c r="CJ325" s="119">
        <f t="shared" si="1412"/>
        <v>0</v>
      </c>
      <c r="CK325" s="120">
        <v>0</v>
      </c>
      <c r="CL325" s="120">
        <v>0</v>
      </c>
      <c r="CM325" s="355">
        <v>0</v>
      </c>
      <c r="CN325" s="120">
        <v>0</v>
      </c>
      <c r="CO325" s="119">
        <f t="shared" si="1413"/>
        <v>0</v>
      </c>
      <c r="CP325" s="236">
        <v>0</v>
      </c>
      <c r="CQ325" s="217">
        <v>0</v>
      </c>
      <c r="CR325" s="217">
        <v>0</v>
      </c>
      <c r="CS325" s="217">
        <v>0</v>
      </c>
      <c r="CT325" s="216">
        <f t="shared" si="1414"/>
        <v>0</v>
      </c>
      <c r="CU325" s="217">
        <v>0</v>
      </c>
      <c r="CV325" s="217">
        <v>0</v>
      </c>
      <c r="CW325" s="217">
        <v>0</v>
      </c>
      <c r="CX325" s="217">
        <v>0</v>
      </c>
      <c r="CY325" s="216">
        <f t="shared" si="1415"/>
        <v>0</v>
      </c>
      <c r="CZ325" s="217">
        <v>0</v>
      </c>
      <c r="DA325" s="217">
        <v>1</v>
      </c>
      <c r="DB325" s="217">
        <v>1</v>
      </c>
      <c r="DC325" s="217">
        <v>1</v>
      </c>
      <c r="DD325" s="216">
        <f t="shared" si="1416"/>
        <v>1</v>
      </c>
      <c r="DE325" s="217">
        <v>1</v>
      </c>
      <c r="DF325" s="217">
        <v>1</v>
      </c>
      <c r="DG325" s="217"/>
      <c r="DH325" s="217"/>
      <c r="DI325" s="119"/>
      <c r="DJ325" s="120"/>
      <c r="DK325" s="120"/>
      <c r="DL325" s="120"/>
      <c r="DM325" s="120"/>
      <c r="DN325" s="119"/>
      <c r="DO325" s="120"/>
      <c r="DP325" s="120"/>
      <c r="DQ325" s="120"/>
      <c r="DR325" s="120"/>
      <c r="DS325" s="119"/>
    </row>
    <row r="326" s="3" customFormat="1" collapsed="1" spans="2:123">
      <c r="B326" s="130" t="s">
        <v>303</v>
      </c>
      <c r="C326" s="284"/>
      <c r="D326" s="189"/>
      <c r="E326" s="189"/>
      <c r="F326" s="189"/>
      <c r="G326" s="189"/>
      <c r="H326" s="188"/>
      <c r="I326" s="189"/>
      <c r="J326" s="189"/>
      <c r="K326" s="189"/>
      <c r="L326" s="189"/>
      <c r="M326" s="188"/>
      <c r="N326" s="189"/>
      <c r="O326" s="189"/>
      <c r="P326" s="189"/>
      <c r="Q326" s="190">
        <f>Q306+Q307+Q308+Q309+Q310+Q311+Q312+Q313+Q314+Q315+Q316+Q317+Q318+Q319+Q320+Q321+Q322+Q323+Q324+Q325</f>
        <v>4</v>
      </c>
      <c r="R326" s="188">
        <f t="shared" ref="R326:CC326" si="1417">R306+R307+R308+R309+R310+R311+R312+R313+R314+R315+R316+R317+R318+R319+R320+R321+R322+R323+R324+R325</f>
        <v>4</v>
      </c>
      <c r="S326" s="189">
        <f t="shared" si="1417"/>
        <v>4</v>
      </c>
      <c r="T326" s="189">
        <f t="shared" si="1417"/>
        <v>1</v>
      </c>
      <c r="U326" s="195">
        <f t="shared" si="1417"/>
        <v>0</v>
      </c>
      <c r="V326" s="189">
        <f t="shared" si="1417"/>
        <v>0</v>
      </c>
      <c r="W326" s="188">
        <f t="shared" si="1417"/>
        <v>0</v>
      </c>
      <c r="X326" s="189">
        <f t="shared" si="1417"/>
        <v>0</v>
      </c>
      <c r="Y326" s="189">
        <f t="shared" si="1417"/>
        <v>0</v>
      </c>
      <c r="Z326" s="195">
        <f t="shared" si="1417"/>
        <v>0</v>
      </c>
      <c r="AA326" s="189">
        <f t="shared" si="1417"/>
        <v>0</v>
      </c>
      <c r="AB326" s="188">
        <f t="shared" si="1417"/>
        <v>0</v>
      </c>
      <c r="AC326" s="189">
        <f t="shared" si="1417"/>
        <v>0</v>
      </c>
      <c r="AD326" s="189">
        <f t="shared" si="1417"/>
        <v>10</v>
      </c>
      <c r="AE326" s="195">
        <f t="shared" si="1417"/>
        <v>11</v>
      </c>
      <c r="AF326" s="189">
        <f t="shared" si="1417"/>
        <v>11</v>
      </c>
      <c r="AG326" s="188">
        <f t="shared" si="1417"/>
        <v>11</v>
      </c>
      <c r="AH326" s="189">
        <f t="shared" si="1417"/>
        <v>12</v>
      </c>
      <c r="AI326" s="189">
        <f t="shared" si="1417"/>
        <v>13</v>
      </c>
      <c r="AJ326" s="195">
        <f t="shared" si="1417"/>
        <v>14</v>
      </c>
      <c r="AK326" s="189">
        <f t="shared" si="1417"/>
        <v>19</v>
      </c>
      <c r="AL326" s="188">
        <f t="shared" si="1417"/>
        <v>19</v>
      </c>
      <c r="AM326" s="189">
        <f t="shared" si="1417"/>
        <v>19</v>
      </c>
      <c r="AN326" s="189">
        <f t="shared" si="1417"/>
        <v>21</v>
      </c>
      <c r="AO326" s="195">
        <f t="shared" si="1417"/>
        <v>24</v>
      </c>
      <c r="AP326" s="189">
        <f t="shared" si="1417"/>
        <v>25</v>
      </c>
      <c r="AQ326" s="188">
        <f t="shared" si="1417"/>
        <v>25</v>
      </c>
      <c r="AR326" s="189">
        <f t="shared" si="1417"/>
        <v>26</v>
      </c>
      <c r="AS326" s="189">
        <f t="shared" si="1417"/>
        <v>26</v>
      </c>
      <c r="AT326" s="195">
        <f t="shared" si="1417"/>
        <v>28</v>
      </c>
      <c r="AU326" s="189">
        <f t="shared" si="1417"/>
        <v>29</v>
      </c>
      <c r="AV326" s="188">
        <f t="shared" si="1417"/>
        <v>29</v>
      </c>
      <c r="AW326" s="189">
        <f t="shared" si="1417"/>
        <v>31</v>
      </c>
      <c r="AX326" s="189">
        <f t="shared" si="1417"/>
        <v>31</v>
      </c>
      <c r="AY326" s="195">
        <f t="shared" si="1417"/>
        <v>31</v>
      </c>
      <c r="AZ326" s="189">
        <f t="shared" si="1417"/>
        <v>34</v>
      </c>
      <c r="BA326" s="188">
        <f t="shared" si="1417"/>
        <v>34</v>
      </c>
      <c r="BB326" s="189">
        <f t="shared" si="1417"/>
        <v>34</v>
      </c>
      <c r="BC326" s="189">
        <f t="shared" si="1417"/>
        <v>38</v>
      </c>
      <c r="BD326" s="195">
        <f t="shared" si="1417"/>
        <v>42</v>
      </c>
      <c r="BE326" s="189">
        <f t="shared" si="1417"/>
        <v>43</v>
      </c>
      <c r="BF326" s="188">
        <f t="shared" si="1417"/>
        <v>43</v>
      </c>
      <c r="BG326" s="189">
        <f t="shared" si="1417"/>
        <v>45</v>
      </c>
      <c r="BH326" s="189">
        <f t="shared" si="1417"/>
        <v>47</v>
      </c>
      <c r="BI326" s="195">
        <f t="shared" si="1417"/>
        <v>48</v>
      </c>
      <c r="BJ326" s="189">
        <f t="shared" si="1417"/>
        <v>52</v>
      </c>
      <c r="BK326" s="188">
        <f t="shared" si="1417"/>
        <v>52</v>
      </c>
      <c r="BL326" s="189">
        <f t="shared" si="1417"/>
        <v>54</v>
      </c>
      <c r="BM326" s="189">
        <f t="shared" si="1417"/>
        <v>56</v>
      </c>
      <c r="BN326" s="195">
        <f t="shared" si="1417"/>
        <v>58</v>
      </c>
      <c r="BO326" s="189">
        <f t="shared" si="1417"/>
        <v>60</v>
      </c>
      <c r="BP326" s="188">
        <f t="shared" si="1417"/>
        <v>60</v>
      </c>
      <c r="BQ326" s="189">
        <f t="shared" si="1417"/>
        <v>66</v>
      </c>
      <c r="BR326" s="189">
        <f t="shared" si="1417"/>
        <v>69</v>
      </c>
      <c r="BS326" s="195">
        <f t="shared" si="1417"/>
        <v>71</v>
      </c>
      <c r="BT326" s="189">
        <f t="shared" si="1417"/>
        <v>77</v>
      </c>
      <c r="BU326" s="188">
        <f t="shared" si="1417"/>
        <v>77</v>
      </c>
      <c r="BV326" s="189">
        <f t="shared" si="1417"/>
        <v>82</v>
      </c>
      <c r="BW326" s="189">
        <f t="shared" si="1417"/>
        <v>85</v>
      </c>
      <c r="BX326" s="195">
        <f t="shared" si="1417"/>
        <v>90</v>
      </c>
      <c r="BY326" s="189">
        <f t="shared" si="1417"/>
        <v>94</v>
      </c>
      <c r="BZ326" s="188">
        <f t="shared" si="1417"/>
        <v>94</v>
      </c>
      <c r="CA326" s="189">
        <f t="shared" si="1417"/>
        <v>96</v>
      </c>
      <c r="CB326" s="189">
        <f t="shared" si="1417"/>
        <v>99</v>
      </c>
      <c r="CC326" s="195">
        <f t="shared" si="1417"/>
        <v>101</v>
      </c>
      <c r="CD326" s="189">
        <f t="shared" ref="CD326:DF326" si="1418">CD306+CD307+CD308+CD309+CD310+CD311+CD312+CD313+CD314+CD315+CD316+CD317+CD318+CD319+CD320+CD321+CD322+CD323+CD324+CD325</f>
        <v>100</v>
      </c>
      <c r="CE326" s="188">
        <f t="shared" si="1418"/>
        <v>100</v>
      </c>
      <c r="CF326" s="189">
        <f t="shared" si="1418"/>
        <v>101</v>
      </c>
      <c r="CG326" s="189">
        <f t="shared" si="1418"/>
        <v>103</v>
      </c>
      <c r="CH326" s="195">
        <f t="shared" si="1418"/>
        <v>109</v>
      </c>
      <c r="CI326" s="189">
        <f t="shared" si="1418"/>
        <v>117</v>
      </c>
      <c r="CJ326" s="188">
        <f t="shared" si="1418"/>
        <v>117</v>
      </c>
      <c r="CK326" s="189">
        <f t="shared" si="1418"/>
        <v>119</v>
      </c>
      <c r="CL326" s="189">
        <f t="shared" si="1418"/>
        <v>125</v>
      </c>
      <c r="CM326" s="195">
        <f t="shared" si="1418"/>
        <v>132</v>
      </c>
      <c r="CN326" s="189">
        <f t="shared" si="1418"/>
        <v>137</v>
      </c>
      <c r="CO326" s="188">
        <f t="shared" si="1418"/>
        <v>137</v>
      </c>
      <c r="CP326" s="239">
        <f t="shared" si="1418"/>
        <v>135</v>
      </c>
      <c r="CQ326" s="239">
        <f t="shared" si="1418"/>
        <v>139</v>
      </c>
      <c r="CR326" s="239">
        <f t="shared" si="1418"/>
        <v>141</v>
      </c>
      <c r="CS326" s="239">
        <f t="shared" si="1418"/>
        <v>146</v>
      </c>
      <c r="CT326" s="241">
        <f t="shared" si="1418"/>
        <v>146</v>
      </c>
      <c r="CU326" s="239">
        <f t="shared" si="1418"/>
        <v>144</v>
      </c>
      <c r="CV326" s="239">
        <f t="shared" si="1418"/>
        <v>148</v>
      </c>
      <c r="CW326" s="239">
        <f t="shared" si="1418"/>
        <v>152</v>
      </c>
      <c r="CX326" s="239">
        <f t="shared" si="1418"/>
        <v>154</v>
      </c>
      <c r="CY326" s="241">
        <f t="shared" si="1418"/>
        <v>154</v>
      </c>
      <c r="CZ326" s="239">
        <f t="shared" si="1418"/>
        <v>154</v>
      </c>
      <c r="DA326" s="239">
        <f t="shared" si="1418"/>
        <v>158</v>
      </c>
      <c r="DB326" s="239">
        <f t="shared" ref="DB326" si="1419">DB306+DB307+DB308+DB309+DB310+DB311+DB312+DB313+DB314+DB315+DB316+DB317+DB318+DB319+DB320+DB321+DB322+DB323+DB324+DB325</f>
        <v>161</v>
      </c>
      <c r="DC326" s="239">
        <f t="shared" si="1418"/>
        <v>163</v>
      </c>
      <c r="DD326" s="241">
        <f t="shared" ref="DD326" si="1420">DD306+DD307+DD308+DD309+DD310+DD311+DD312+DD313+DD314+DD315+DD316+DD317+DD318+DD319+DD320+DD321+DD322+DD323+DD324+DD325</f>
        <v>163</v>
      </c>
      <c r="DE326" s="239">
        <f t="shared" si="1418"/>
        <v>167</v>
      </c>
      <c r="DF326" s="239">
        <f t="shared" si="1418"/>
        <v>168</v>
      </c>
      <c r="DG326" s="365">
        <f>DF326+1</f>
        <v>169</v>
      </c>
      <c r="DH326" s="365">
        <f>DG326+2</f>
        <v>171</v>
      </c>
      <c r="DI326" s="194">
        <f>DH326</f>
        <v>171</v>
      </c>
      <c r="DJ326" s="366">
        <f>DI326+0</f>
        <v>171</v>
      </c>
      <c r="DK326" s="366">
        <f>DJ326+2</f>
        <v>173</v>
      </c>
      <c r="DL326" s="366">
        <f>DK326+2</f>
        <v>175</v>
      </c>
      <c r="DM326" s="366">
        <f>DL326+4</f>
        <v>179</v>
      </c>
      <c r="DN326" s="194">
        <f>DM326</f>
        <v>179</v>
      </c>
      <c r="DO326" s="366">
        <f>DN326+0</f>
        <v>179</v>
      </c>
      <c r="DP326" s="366">
        <f>DO326+2</f>
        <v>181</v>
      </c>
      <c r="DQ326" s="366">
        <f>DP326+2</f>
        <v>183</v>
      </c>
      <c r="DR326" s="366">
        <f>DQ326+4</f>
        <v>187</v>
      </c>
      <c r="DS326" s="194">
        <f>DR326</f>
        <v>187</v>
      </c>
    </row>
    <row r="327" s="3" customFormat="1" spans="2:123">
      <c r="B327" s="144" t="s">
        <v>305</v>
      </c>
      <c r="C327" s="356"/>
      <c r="D327" s="146"/>
      <c r="E327" s="146"/>
      <c r="F327" s="146"/>
      <c r="G327" s="146"/>
      <c r="H327" s="145"/>
      <c r="I327" s="146"/>
      <c r="J327" s="146"/>
      <c r="K327" s="146"/>
      <c r="L327" s="146"/>
      <c r="M327" s="145"/>
      <c r="N327" s="146"/>
      <c r="O327" s="146"/>
      <c r="P327" s="146"/>
      <c r="Q327" s="146"/>
      <c r="R327" s="145"/>
      <c r="S327" s="192">
        <f>S326-R326</f>
        <v>0</v>
      </c>
      <c r="T327" s="192">
        <f>T326-S326</f>
        <v>-3</v>
      </c>
      <c r="U327" s="192">
        <f>U326-T326</f>
        <v>-1</v>
      </c>
      <c r="V327" s="192">
        <f>V326-U326</f>
        <v>0</v>
      </c>
      <c r="W327" s="191">
        <f>W326-R326</f>
        <v>-4</v>
      </c>
      <c r="X327" s="192">
        <f>X326-W326</f>
        <v>0</v>
      </c>
      <c r="Y327" s="192">
        <f>Y326-X326</f>
        <v>0</v>
      </c>
      <c r="Z327" s="192">
        <f>Z326-Y326</f>
        <v>0</v>
      </c>
      <c r="AA327" s="192">
        <f>AA326-Z326</f>
        <v>0</v>
      </c>
      <c r="AB327" s="191">
        <f>AB326-W326</f>
        <v>0</v>
      </c>
      <c r="AC327" s="192">
        <f>AC326-AB326</f>
        <v>0</v>
      </c>
      <c r="AD327" s="192">
        <f>AD326-AC326</f>
        <v>10</v>
      </c>
      <c r="AE327" s="192">
        <f>AE326-AD326</f>
        <v>1</v>
      </c>
      <c r="AF327" s="192">
        <f>AF326-AE326</f>
        <v>0</v>
      </c>
      <c r="AG327" s="191">
        <f>AG326-AB326</f>
        <v>11</v>
      </c>
      <c r="AH327" s="192">
        <f>AH326-AG326</f>
        <v>1</v>
      </c>
      <c r="AI327" s="192">
        <f>AI326-AH326</f>
        <v>1</v>
      </c>
      <c r="AJ327" s="192">
        <f>AJ326-AI326</f>
        <v>1</v>
      </c>
      <c r="AK327" s="192">
        <f>AK326-AJ326</f>
        <v>5</v>
      </c>
      <c r="AL327" s="191">
        <f>AL326-AG326</f>
        <v>8</v>
      </c>
      <c r="AM327" s="192">
        <f>AM326-AL326</f>
        <v>0</v>
      </c>
      <c r="AN327" s="192">
        <f>AN326-AM326</f>
        <v>2</v>
      </c>
      <c r="AO327" s="192">
        <f>AO326-AN326</f>
        <v>3</v>
      </c>
      <c r="AP327" s="192">
        <f>AP326-AO326</f>
        <v>1</v>
      </c>
      <c r="AQ327" s="191">
        <f>AQ326-AL326</f>
        <v>6</v>
      </c>
      <c r="AR327" s="192">
        <f>AR326-AQ326</f>
        <v>1</v>
      </c>
      <c r="AS327" s="192">
        <f>AS326-AR326</f>
        <v>0</v>
      </c>
      <c r="AT327" s="192">
        <f>AT326-AS326</f>
        <v>2</v>
      </c>
      <c r="AU327" s="192">
        <f>AU326-AT326</f>
        <v>1</v>
      </c>
      <c r="AV327" s="191">
        <f>AV326-AQ326</f>
        <v>4</v>
      </c>
      <c r="AW327" s="192">
        <f>AW326-AV326</f>
        <v>2</v>
      </c>
      <c r="AX327" s="192">
        <f>AX326-AW326</f>
        <v>0</v>
      </c>
      <c r="AY327" s="192">
        <f>AY326-AX326</f>
        <v>0</v>
      </c>
      <c r="AZ327" s="192">
        <f>AZ326-AY326</f>
        <v>3</v>
      </c>
      <c r="BA327" s="191">
        <f>BA326-AV326</f>
        <v>5</v>
      </c>
      <c r="BB327" s="192">
        <f>BB326-BA326</f>
        <v>0</v>
      </c>
      <c r="BC327" s="192">
        <f>BC326-BB326</f>
        <v>4</v>
      </c>
      <c r="BD327" s="192">
        <f>BD326-BC326</f>
        <v>4</v>
      </c>
      <c r="BE327" s="192">
        <f>BE326-BD326</f>
        <v>1</v>
      </c>
      <c r="BF327" s="191">
        <f>BF326-BA326</f>
        <v>9</v>
      </c>
      <c r="BG327" s="192">
        <f>BG326-BF326</f>
        <v>2</v>
      </c>
      <c r="BH327" s="192">
        <f>BH326-BG326</f>
        <v>2</v>
      </c>
      <c r="BI327" s="192">
        <f>BI326-BH326</f>
        <v>1</v>
      </c>
      <c r="BJ327" s="192">
        <f>BJ326-BI326</f>
        <v>4</v>
      </c>
      <c r="BK327" s="191">
        <f>BK326-BF326</f>
        <v>9</v>
      </c>
      <c r="BL327" s="192">
        <f>BL326-BK326</f>
        <v>2</v>
      </c>
      <c r="BM327" s="192">
        <f>BM326-BL326</f>
        <v>2</v>
      </c>
      <c r="BN327" s="192">
        <f>BN326-BM326</f>
        <v>2</v>
      </c>
      <c r="BO327" s="192">
        <f>BO326-BN326</f>
        <v>2</v>
      </c>
      <c r="BP327" s="191">
        <f>BP326-BK326</f>
        <v>8</v>
      </c>
      <c r="BQ327" s="192">
        <f>BQ326-BP326</f>
        <v>6</v>
      </c>
      <c r="BR327" s="192">
        <f>BR326-BQ326</f>
        <v>3</v>
      </c>
      <c r="BS327" s="192">
        <f>BS326-BR326</f>
        <v>2</v>
      </c>
      <c r="BT327" s="192">
        <f>BT326-BS326</f>
        <v>6</v>
      </c>
      <c r="BU327" s="191">
        <f>BU326-BP326</f>
        <v>17</v>
      </c>
      <c r="BV327" s="192">
        <f>BV326-BU326</f>
        <v>5</v>
      </c>
      <c r="BW327" s="192">
        <f>BW326-BV326</f>
        <v>3</v>
      </c>
      <c r="BX327" s="192">
        <f>BX326-BW326</f>
        <v>5</v>
      </c>
      <c r="BY327" s="192">
        <f>BY326-BX326</f>
        <v>4</v>
      </c>
      <c r="BZ327" s="191">
        <f>BZ326-BU326</f>
        <v>17</v>
      </c>
      <c r="CA327" s="192">
        <f>CA326-BZ326</f>
        <v>2</v>
      </c>
      <c r="CB327" s="192">
        <f>CB326-CA326</f>
        <v>3</v>
      </c>
      <c r="CC327" s="192">
        <f>CC326-CB326</f>
        <v>2</v>
      </c>
      <c r="CD327" s="192">
        <f>CD326-CC326</f>
        <v>-1</v>
      </c>
      <c r="CE327" s="191">
        <f>CE326-BZ326</f>
        <v>6</v>
      </c>
      <c r="CF327" s="192">
        <f>CF326-CE326</f>
        <v>1</v>
      </c>
      <c r="CG327" s="192">
        <f>CG326-CF326</f>
        <v>2</v>
      </c>
      <c r="CH327" s="192">
        <f>CH326-CG326</f>
        <v>6</v>
      </c>
      <c r="CI327" s="192">
        <f>CI326-CH326</f>
        <v>8</v>
      </c>
      <c r="CJ327" s="191">
        <f>CJ326-CE326</f>
        <v>17</v>
      </c>
      <c r="CK327" s="192">
        <f>CK326-CJ326</f>
        <v>2</v>
      </c>
      <c r="CL327" s="192">
        <f>CL326-CK326</f>
        <v>6</v>
      </c>
      <c r="CM327" s="192">
        <f>CM326-CL326</f>
        <v>7</v>
      </c>
      <c r="CN327" s="192">
        <f>CN326-CM326</f>
        <v>5</v>
      </c>
      <c r="CO327" s="191">
        <f>CO326-CJ326</f>
        <v>20</v>
      </c>
      <c r="CP327" s="319">
        <f>CP326-CO326</f>
        <v>-2</v>
      </c>
      <c r="CQ327" s="319">
        <f>CQ326-CP326</f>
        <v>4</v>
      </c>
      <c r="CR327" s="319">
        <f>CR326-CQ326</f>
        <v>2</v>
      </c>
      <c r="CS327" s="319">
        <f>CS326-CR326</f>
        <v>5</v>
      </c>
      <c r="CT327" s="320">
        <f>CT326-CO326</f>
        <v>9</v>
      </c>
      <c r="CU327" s="367">
        <f>CU326-CT326</f>
        <v>-2</v>
      </c>
      <c r="CV327" s="319">
        <f>CV326-CU326</f>
        <v>4</v>
      </c>
      <c r="CW327" s="319">
        <f>CW326-CV326</f>
        <v>4</v>
      </c>
      <c r="CX327" s="319">
        <f t="shared" ref="CX327" si="1421">CX326-CW326</f>
        <v>2</v>
      </c>
      <c r="CY327" s="368">
        <f>CY326-CT326</f>
        <v>8</v>
      </c>
      <c r="CZ327" s="367">
        <f>CZ326-CY326</f>
        <v>0</v>
      </c>
      <c r="DA327" s="319">
        <f t="shared" ref="DA327:DC327" si="1422">DA326-CZ326</f>
        <v>4</v>
      </c>
      <c r="DB327" s="319">
        <f t="shared" si="1422"/>
        <v>3</v>
      </c>
      <c r="DC327" s="319">
        <f t="shared" si="1422"/>
        <v>2</v>
      </c>
      <c r="DD327" s="368">
        <f>DD326-CY326</f>
        <v>9</v>
      </c>
      <c r="DE327" s="367">
        <f>DE326-DD326</f>
        <v>4</v>
      </c>
      <c r="DF327" s="319">
        <f t="shared" ref="DF327:DH327" si="1423">DF326-DE326</f>
        <v>1</v>
      </c>
      <c r="DG327" s="319">
        <f t="shared" si="1423"/>
        <v>1</v>
      </c>
      <c r="DH327" s="319">
        <f t="shared" si="1423"/>
        <v>2</v>
      </c>
      <c r="DI327" s="191">
        <f>DI326-DD326</f>
        <v>8</v>
      </c>
      <c r="DJ327" s="192">
        <f>DJ326-DI326</f>
        <v>0</v>
      </c>
      <c r="DK327" s="192">
        <f t="shared" ref="DK327" si="1424">DK326-DJ326</f>
        <v>2</v>
      </c>
      <c r="DL327" s="192">
        <f t="shared" ref="DL327" si="1425">DL326-DK326</f>
        <v>2</v>
      </c>
      <c r="DM327" s="192">
        <f t="shared" ref="DM327" si="1426">DM326-DL326</f>
        <v>4</v>
      </c>
      <c r="DN327" s="191">
        <f>DN326-DI326</f>
        <v>8</v>
      </c>
      <c r="DO327" s="192">
        <f>DO326-DN326</f>
        <v>0</v>
      </c>
      <c r="DP327" s="192">
        <f t="shared" ref="DP327" si="1427">DP326-DO326</f>
        <v>2</v>
      </c>
      <c r="DQ327" s="192">
        <f t="shared" ref="DQ327" si="1428">DQ326-DP326</f>
        <v>2</v>
      </c>
      <c r="DR327" s="192">
        <f t="shared" ref="DR327" si="1429">DR326-DQ326</f>
        <v>4</v>
      </c>
      <c r="DS327" s="191">
        <f>DS326-DN326</f>
        <v>8</v>
      </c>
    </row>
    <row r="328" s="3" customFormat="1" spans="2:123">
      <c r="B328" s="130" t="s">
        <v>425</v>
      </c>
      <c r="C328" s="284"/>
      <c r="D328" s="189"/>
      <c r="E328" s="189"/>
      <c r="F328" s="189"/>
      <c r="G328" s="189"/>
      <c r="H328" s="188"/>
      <c r="I328" s="189"/>
      <c r="J328" s="189"/>
      <c r="K328" s="189"/>
      <c r="L328" s="189"/>
      <c r="M328" s="188"/>
      <c r="N328" s="189"/>
      <c r="O328" s="189"/>
      <c r="P328" s="189"/>
      <c r="Q328" s="189"/>
      <c r="R328" s="188"/>
      <c r="S328" s="195">
        <f>AVERAGE(R326:S326)</f>
        <v>4</v>
      </c>
      <c r="T328" s="195">
        <f>AVERAGE(S326:T326)</f>
        <v>2.5</v>
      </c>
      <c r="U328" s="195">
        <f>AVERAGE(T326:U326)</f>
        <v>0.5</v>
      </c>
      <c r="V328" s="195">
        <f>AVERAGE(U326:V326)</f>
        <v>0</v>
      </c>
      <c r="W328" s="194">
        <f>AVERAGE(S326:V326)</f>
        <v>1.25</v>
      </c>
      <c r="X328" s="195">
        <f>AVERAGE(W326:X326)</f>
        <v>0</v>
      </c>
      <c r="Y328" s="195">
        <f>AVERAGE(X326:Y326)</f>
        <v>0</v>
      </c>
      <c r="Z328" s="195">
        <f>AVERAGE(Y326:Z326)</f>
        <v>0</v>
      </c>
      <c r="AA328" s="195">
        <f>AVERAGE(Z326:AA326)</f>
        <v>0</v>
      </c>
      <c r="AB328" s="194">
        <f>AVERAGE(X326:AA326)</f>
        <v>0</v>
      </c>
      <c r="AC328" s="195">
        <f>AVERAGE(AB326:AC326)</f>
        <v>0</v>
      </c>
      <c r="AD328" s="195">
        <f>AVERAGE(AC326:AD326)</f>
        <v>5</v>
      </c>
      <c r="AE328" s="195">
        <f>AVERAGE(AD326:AE326)</f>
        <v>10.5</v>
      </c>
      <c r="AF328" s="195">
        <f>AVERAGE(AE326:AF326)</f>
        <v>11</v>
      </c>
      <c r="AG328" s="194">
        <f>AVERAGE(AC326:AF326)</f>
        <v>8</v>
      </c>
      <c r="AH328" s="195">
        <f>AVERAGE(AG326:AH326)</f>
        <v>11.5</v>
      </c>
      <c r="AI328" s="195">
        <f>AVERAGE(AH326:AI326)</f>
        <v>12.5</v>
      </c>
      <c r="AJ328" s="195">
        <f>AVERAGE(AI326:AJ326)</f>
        <v>13.5</v>
      </c>
      <c r="AK328" s="195">
        <f>AVERAGE(AJ326:AK326)</f>
        <v>16.5</v>
      </c>
      <c r="AL328" s="194">
        <f>AVERAGE(AH326:AK326)</f>
        <v>14.5</v>
      </c>
      <c r="AM328" s="195">
        <f>AVERAGE(AL326:AM326)</f>
        <v>19</v>
      </c>
      <c r="AN328" s="195">
        <f>AVERAGE(AM326:AN326)</f>
        <v>20</v>
      </c>
      <c r="AO328" s="195">
        <f>AVERAGE(AN326:AO326)</f>
        <v>22.5</v>
      </c>
      <c r="AP328" s="195">
        <f>AVERAGE(AO326:AP326)</f>
        <v>24.5</v>
      </c>
      <c r="AQ328" s="194">
        <f>AVERAGE(AM326:AP326)</f>
        <v>22.25</v>
      </c>
      <c r="AR328" s="195">
        <f>AVERAGE(AQ326:AR326)</f>
        <v>25.5</v>
      </c>
      <c r="AS328" s="195">
        <f>AVERAGE(AR326:AS326)</f>
        <v>26</v>
      </c>
      <c r="AT328" s="195">
        <f>AVERAGE(AS326:AT326)</f>
        <v>27</v>
      </c>
      <c r="AU328" s="195">
        <f>AVERAGE(AT326:AU326)</f>
        <v>28.5</v>
      </c>
      <c r="AV328" s="194">
        <f>AVERAGE(AR326:AU326)</f>
        <v>27.25</v>
      </c>
      <c r="AW328" s="195">
        <f>AVERAGE(AV326:AW326)</f>
        <v>30</v>
      </c>
      <c r="AX328" s="195">
        <f>AVERAGE(AW326:AX326)</f>
        <v>31</v>
      </c>
      <c r="AY328" s="195">
        <f>AVERAGE(AX326:AY326)</f>
        <v>31</v>
      </c>
      <c r="AZ328" s="195">
        <f>AVERAGE(AY326:AZ326)</f>
        <v>32.5</v>
      </c>
      <c r="BA328" s="194">
        <f>AVERAGE(AW326:AZ326)</f>
        <v>31.75</v>
      </c>
      <c r="BB328" s="195">
        <f>AVERAGE(BA326:BB326)</f>
        <v>34</v>
      </c>
      <c r="BC328" s="195">
        <f>AVERAGE(BB326:BC326)</f>
        <v>36</v>
      </c>
      <c r="BD328" s="195">
        <f>AVERAGE(BC326:BD326)</f>
        <v>40</v>
      </c>
      <c r="BE328" s="195">
        <f>AVERAGE(BD326:BE326)</f>
        <v>42.5</v>
      </c>
      <c r="BF328" s="194">
        <f>AVERAGE(BB326:BE326)</f>
        <v>39.25</v>
      </c>
      <c r="BG328" s="195">
        <f>AVERAGE(BF326:BG326)</f>
        <v>44</v>
      </c>
      <c r="BH328" s="195">
        <f>AVERAGE(BG326:BH326)</f>
        <v>46</v>
      </c>
      <c r="BI328" s="195">
        <f>AVERAGE(BH326:BI326)</f>
        <v>47.5</v>
      </c>
      <c r="BJ328" s="195">
        <f>AVERAGE(BI326:BJ326)</f>
        <v>50</v>
      </c>
      <c r="BK328" s="194">
        <f>AVERAGE(BG326:BJ326)</f>
        <v>48</v>
      </c>
      <c r="BL328" s="195">
        <f>AVERAGE(BK326:BL326)</f>
        <v>53</v>
      </c>
      <c r="BM328" s="195">
        <f>AVERAGE(BL326:BM326)</f>
        <v>55</v>
      </c>
      <c r="BN328" s="195">
        <f>AVERAGE(BM326:BN326)</f>
        <v>57</v>
      </c>
      <c r="BO328" s="195">
        <f>AVERAGE(BN326:BO326)</f>
        <v>59</v>
      </c>
      <c r="BP328" s="194">
        <f>AVERAGE(BL326:BO326)</f>
        <v>57</v>
      </c>
      <c r="BQ328" s="195">
        <f>AVERAGE(BP326:BQ326)</f>
        <v>63</v>
      </c>
      <c r="BR328" s="195">
        <f>AVERAGE(BQ326:BR326)</f>
        <v>67.5</v>
      </c>
      <c r="BS328" s="195">
        <f>AVERAGE(BR326:BS326)</f>
        <v>70</v>
      </c>
      <c r="BT328" s="195">
        <f>AVERAGE(BS326:BT326)</f>
        <v>74</v>
      </c>
      <c r="BU328" s="194">
        <f>AVERAGE(BQ326:BT326)</f>
        <v>70.75</v>
      </c>
      <c r="BV328" s="195">
        <f>AVERAGE(BU326:BV326)</f>
        <v>79.5</v>
      </c>
      <c r="BW328" s="195">
        <f>AVERAGE(BV326:BW326)</f>
        <v>83.5</v>
      </c>
      <c r="BX328" s="195">
        <f>AVERAGE(BW326:BX326)</f>
        <v>87.5</v>
      </c>
      <c r="BY328" s="195">
        <f>AVERAGE(BX326:BY326)</f>
        <v>92</v>
      </c>
      <c r="BZ328" s="194">
        <f>AVERAGE(BV326:BY326)</f>
        <v>87.75</v>
      </c>
      <c r="CA328" s="195">
        <f>AVERAGE(BZ326:CA326)</f>
        <v>95</v>
      </c>
      <c r="CB328" s="195">
        <f>AVERAGE(CA326:CB326)</f>
        <v>97.5</v>
      </c>
      <c r="CC328" s="195">
        <f>AVERAGE(CB326:CC326)</f>
        <v>100</v>
      </c>
      <c r="CD328" s="195">
        <f>AVERAGE(CC326:CD326)</f>
        <v>100.5</v>
      </c>
      <c r="CE328" s="194">
        <f>AVERAGE(CA326:CD326)</f>
        <v>99</v>
      </c>
      <c r="CF328" s="195">
        <f>AVERAGE(CE326:CF326)</f>
        <v>100.5</v>
      </c>
      <c r="CG328" s="195">
        <f>AVERAGE(CF326:CG326)</f>
        <v>102</v>
      </c>
      <c r="CH328" s="195">
        <f>AVERAGE(CG326:CH326)</f>
        <v>106</v>
      </c>
      <c r="CI328" s="195">
        <f>AVERAGE(CH326:CI326)</f>
        <v>113</v>
      </c>
      <c r="CJ328" s="194">
        <f>AVERAGE(CF326:CI326)</f>
        <v>107.5</v>
      </c>
      <c r="CK328" s="195">
        <f>AVERAGE(CJ326:CK326)</f>
        <v>118</v>
      </c>
      <c r="CL328" s="195">
        <f>AVERAGE(CK326:CL326)</f>
        <v>122</v>
      </c>
      <c r="CM328" s="195">
        <f>AVERAGE(CL326:CM326)</f>
        <v>128.5</v>
      </c>
      <c r="CN328" s="195">
        <f>AVERAGE(CM326:CN326)</f>
        <v>134.5</v>
      </c>
      <c r="CO328" s="194">
        <f>AVERAGE(CK326:CN326)</f>
        <v>128.25</v>
      </c>
      <c r="CP328" s="240">
        <f>AVERAGE(CO326:CP326)</f>
        <v>136</v>
      </c>
      <c r="CQ328" s="240">
        <f>AVERAGE(CP326:CQ326)</f>
        <v>137</v>
      </c>
      <c r="CR328" s="240">
        <f>AVERAGE(CQ326:CR326)</f>
        <v>140</v>
      </c>
      <c r="CS328" s="240">
        <f>AVERAGE(CR326:CS326)</f>
        <v>143.5</v>
      </c>
      <c r="CT328" s="241">
        <f>AVERAGE(CP326:CS326)</f>
        <v>140.25</v>
      </c>
      <c r="CU328" s="240">
        <f>AVERAGE(CT326:CU326)</f>
        <v>145</v>
      </c>
      <c r="CV328" s="240">
        <f>AVERAGE(CU326:CV326)</f>
        <v>146</v>
      </c>
      <c r="CW328" s="240">
        <f>AVERAGE(CV326:CW326)</f>
        <v>150</v>
      </c>
      <c r="CX328" s="240">
        <f t="shared" ref="CX328" si="1430">AVERAGE(CW326:CX326)</f>
        <v>153</v>
      </c>
      <c r="CY328" s="241">
        <f>AVERAGE(CU326:CX326)</f>
        <v>149.5</v>
      </c>
      <c r="CZ328" s="240">
        <f>AVERAGE(CY326:CZ326)</f>
        <v>154</v>
      </c>
      <c r="DA328" s="240">
        <f>AVERAGE(CZ326:DA326)</f>
        <v>156</v>
      </c>
      <c r="DB328" s="240">
        <f>AVERAGE(DA326:DB326)</f>
        <v>159.5</v>
      </c>
      <c r="DC328" s="240">
        <f>AVERAGE(DB326:DC326)</f>
        <v>162</v>
      </c>
      <c r="DD328" s="241">
        <f>AVERAGE(CZ326:DC326)</f>
        <v>159</v>
      </c>
      <c r="DE328" s="240">
        <f>AVERAGE(DD326:DE326)</f>
        <v>165</v>
      </c>
      <c r="DF328" s="240">
        <f t="shared" ref="DF328:DH328" si="1431">AVERAGE(DE326:DF326)</f>
        <v>167.5</v>
      </c>
      <c r="DG328" s="240">
        <f t="shared" si="1431"/>
        <v>168.5</v>
      </c>
      <c r="DH328" s="240">
        <f t="shared" si="1431"/>
        <v>170</v>
      </c>
      <c r="DI328" s="194">
        <f>AVERAGE(DE326:DH326)</f>
        <v>168.75</v>
      </c>
      <c r="DJ328" s="195">
        <f>AVERAGE(DI326:DJ326)</f>
        <v>171</v>
      </c>
      <c r="DK328" s="195">
        <f t="shared" ref="DK328" si="1432">AVERAGE(DJ326:DK326)</f>
        <v>172</v>
      </c>
      <c r="DL328" s="195">
        <f t="shared" ref="DL328" si="1433">AVERAGE(DK326:DL326)</f>
        <v>174</v>
      </c>
      <c r="DM328" s="195">
        <f t="shared" ref="DM328" si="1434">AVERAGE(DL326:DM326)</f>
        <v>177</v>
      </c>
      <c r="DN328" s="194">
        <f>AVERAGE(DJ326:DM326)</f>
        <v>174.5</v>
      </c>
      <c r="DO328" s="195">
        <f>AVERAGE(DN326:DO326)</f>
        <v>179</v>
      </c>
      <c r="DP328" s="195">
        <f t="shared" ref="DP328" si="1435">AVERAGE(DO326:DP326)</f>
        <v>180</v>
      </c>
      <c r="DQ328" s="195">
        <f t="shared" ref="DQ328" si="1436">AVERAGE(DP326:DQ326)</f>
        <v>182</v>
      </c>
      <c r="DR328" s="195">
        <f t="shared" ref="DR328" si="1437">AVERAGE(DQ326:DR326)</f>
        <v>185</v>
      </c>
      <c r="DS328" s="194">
        <f>AVERAGE(DO326:DR326)</f>
        <v>182.5</v>
      </c>
    </row>
    <row r="329" s="3" customFormat="1" spans="2:123">
      <c r="B329" s="144" t="s">
        <v>370</v>
      </c>
      <c r="C329" s="284"/>
      <c r="D329" s="189"/>
      <c r="E329" s="189"/>
      <c r="F329" s="189"/>
      <c r="G329" s="189"/>
      <c r="H329" s="188"/>
      <c r="I329" s="189"/>
      <c r="J329" s="189"/>
      <c r="K329" s="189"/>
      <c r="L329" s="189"/>
      <c r="M329" s="188"/>
      <c r="N329" s="189"/>
      <c r="O329" s="189"/>
      <c r="P329" s="189"/>
      <c r="Q329" s="189"/>
      <c r="R329" s="188"/>
      <c r="S329" s="141"/>
      <c r="T329" s="141"/>
      <c r="U329" s="141"/>
      <c r="V329" s="141"/>
      <c r="W329" s="140"/>
      <c r="X329" s="141"/>
      <c r="Y329" s="141"/>
      <c r="Z329" s="141"/>
      <c r="AA329" s="141"/>
      <c r="AB329" s="140"/>
      <c r="AC329" s="141"/>
      <c r="AD329" s="141"/>
      <c r="AE329" s="141"/>
      <c r="AF329" s="141"/>
      <c r="AG329" s="140"/>
      <c r="AH329" s="141" t="e">
        <f t="shared" ref="AH329" si="1438">AH328/AC328-1</f>
        <v>#DIV/0!</v>
      </c>
      <c r="AI329" s="141">
        <f t="shared" ref="AI329" si="1439">AI328/AD328-1</f>
        <v>1.5</v>
      </c>
      <c r="AJ329" s="141">
        <f t="shared" ref="AJ329" si="1440">AJ328/AE328-1</f>
        <v>0.285714285714286</v>
      </c>
      <c r="AK329" s="141">
        <f t="shared" ref="AK329" si="1441">AK328/AF328-1</f>
        <v>0.5</v>
      </c>
      <c r="AL329" s="140">
        <f t="shared" ref="AL329" si="1442">AL328/AG328-1</f>
        <v>0.8125</v>
      </c>
      <c r="AM329" s="141">
        <f t="shared" ref="AM329" si="1443">AM328/AH328-1</f>
        <v>0.652173913043478</v>
      </c>
      <c r="AN329" s="141">
        <f t="shared" ref="AN329" si="1444">AN328/AI328-1</f>
        <v>0.6</v>
      </c>
      <c r="AO329" s="141">
        <f t="shared" ref="AO329" si="1445">AO328/AJ328-1</f>
        <v>0.666666666666667</v>
      </c>
      <c r="AP329" s="141">
        <f t="shared" ref="AP329" si="1446">AP328/AK328-1</f>
        <v>0.484848484848485</v>
      </c>
      <c r="AQ329" s="140">
        <f t="shared" ref="AQ329" si="1447">AQ328/AL328-1</f>
        <v>0.53448275862069</v>
      </c>
      <c r="AR329" s="141">
        <f t="shared" ref="AR329" si="1448">AR328/AM328-1</f>
        <v>0.342105263157895</v>
      </c>
      <c r="AS329" s="141">
        <f t="shared" ref="AS329" si="1449">AS328/AN328-1</f>
        <v>0.3</v>
      </c>
      <c r="AT329" s="141">
        <f t="shared" ref="AT329" si="1450">AT328/AO328-1</f>
        <v>0.2</v>
      </c>
      <c r="AU329" s="141">
        <f t="shared" ref="AU329" si="1451">AU328/AP328-1</f>
        <v>0.163265306122449</v>
      </c>
      <c r="AV329" s="140">
        <f t="shared" ref="AV329" si="1452">AV328/AQ328-1</f>
        <v>0.224719101123596</v>
      </c>
      <c r="AW329" s="141">
        <f t="shared" ref="AW329" si="1453">AW328/AR328-1</f>
        <v>0.176470588235294</v>
      </c>
      <c r="AX329" s="141">
        <f t="shared" ref="AX329" si="1454">AX328/AS328-1</f>
        <v>0.192307692307692</v>
      </c>
      <c r="AY329" s="141">
        <f t="shared" ref="AY329" si="1455">AY328/AT328-1</f>
        <v>0.148148148148148</v>
      </c>
      <c r="AZ329" s="141">
        <f t="shared" ref="AZ329" si="1456">AZ328/AU328-1</f>
        <v>0.140350877192982</v>
      </c>
      <c r="BA329" s="140">
        <f t="shared" ref="BA329" si="1457">BA328/AV328-1</f>
        <v>0.165137614678899</v>
      </c>
      <c r="BB329" s="141">
        <f t="shared" ref="BB329" si="1458">BB328/AW328-1</f>
        <v>0.133333333333333</v>
      </c>
      <c r="BC329" s="141">
        <f t="shared" ref="BC329" si="1459">BC328/AX328-1</f>
        <v>0.161290322580645</v>
      </c>
      <c r="BD329" s="141">
        <f t="shared" ref="BD329" si="1460">BD328/AY328-1</f>
        <v>0.290322580645161</v>
      </c>
      <c r="BE329" s="141">
        <f t="shared" ref="BE329" si="1461">BE328/AZ328-1</f>
        <v>0.307692307692308</v>
      </c>
      <c r="BF329" s="140">
        <f t="shared" ref="BF329" si="1462">BF328/BA328-1</f>
        <v>0.236220472440945</v>
      </c>
      <c r="BG329" s="141">
        <f t="shared" ref="BG329" si="1463">BG328/BB328-1</f>
        <v>0.294117647058824</v>
      </c>
      <c r="BH329" s="141">
        <f t="shared" ref="BH329" si="1464">BH328/BC328-1</f>
        <v>0.277777777777778</v>
      </c>
      <c r="BI329" s="141">
        <f t="shared" ref="BI329" si="1465">BI328/BD328-1</f>
        <v>0.1875</v>
      </c>
      <c r="BJ329" s="141">
        <f t="shared" ref="BJ329" si="1466">BJ328/BE328-1</f>
        <v>0.176470588235294</v>
      </c>
      <c r="BK329" s="140">
        <f t="shared" ref="BK329" si="1467">BK328/BF328-1</f>
        <v>0.222929936305732</v>
      </c>
      <c r="BL329" s="141">
        <f t="shared" ref="BL329" si="1468">BL328/BG328-1</f>
        <v>0.204545454545455</v>
      </c>
      <c r="BM329" s="141">
        <f t="shared" ref="BM329" si="1469">BM328/BH328-1</f>
        <v>0.195652173913043</v>
      </c>
      <c r="BN329" s="141">
        <f t="shared" ref="BN329" si="1470">BN328/BI328-1</f>
        <v>0.2</v>
      </c>
      <c r="BO329" s="141">
        <f t="shared" ref="BO329" si="1471">BO328/BJ328-1</f>
        <v>0.18</v>
      </c>
      <c r="BP329" s="140">
        <f t="shared" ref="BP329" si="1472">BP328/BK328-1</f>
        <v>0.1875</v>
      </c>
      <c r="BQ329" s="141">
        <f t="shared" ref="BQ329" si="1473">BQ328/BL328-1</f>
        <v>0.188679245283019</v>
      </c>
      <c r="BR329" s="141">
        <f t="shared" ref="BR329" si="1474">BR328/BM328-1</f>
        <v>0.227272727272727</v>
      </c>
      <c r="BS329" s="141">
        <f t="shared" ref="BS329" si="1475">BS328/BN328-1</f>
        <v>0.228070175438597</v>
      </c>
      <c r="BT329" s="141">
        <f t="shared" ref="BT329" si="1476">BT328/BO328-1</f>
        <v>0.254237288135593</v>
      </c>
      <c r="BU329" s="140">
        <f t="shared" ref="BU329" si="1477">BU328/BP328-1</f>
        <v>0.241228070175439</v>
      </c>
      <c r="BV329" s="141">
        <f t="shared" ref="BV329" si="1478">BV328/BQ328-1</f>
        <v>0.261904761904762</v>
      </c>
      <c r="BW329" s="141">
        <f t="shared" ref="BW329" si="1479">BW328/BR328-1</f>
        <v>0.237037037037037</v>
      </c>
      <c r="BX329" s="141">
        <f t="shared" ref="BX329" si="1480">BX328/BS328-1</f>
        <v>0.25</v>
      </c>
      <c r="BY329" s="141">
        <f t="shared" ref="BY329" si="1481">BY328/BT328-1</f>
        <v>0.243243243243243</v>
      </c>
      <c r="BZ329" s="140">
        <f t="shared" ref="BZ329" si="1482">BZ328/BU328-1</f>
        <v>0.240282685512367</v>
      </c>
      <c r="CA329" s="141">
        <f t="shared" ref="CA329" si="1483">CA328/BV328-1</f>
        <v>0.194968553459119</v>
      </c>
      <c r="CB329" s="141">
        <f t="shared" ref="CB329" si="1484">CB328/BW328-1</f>
        <v>0.167664670658683</v>
      </c>
      <c r="CC329" s="141">
        <f t="shared" ref="CC329" si="1485">CC328/BX328-1</f>
        <v>0.142857142857143</v>
      </c>
      <c r="CD329" s="141">
        <f t="shared" ref="CD329" si="1486">CD328/BY328-1</f>
        <v>0.0923913043478262</v>
      </c>
      <c r="CE329" s="140">
        <f t="shared" ref="CE329" si="1487">CE328/BZ328-1</f>
        <v>0.128205128205128</v>
      </c>
      <c r="CF329" s="141">
        <f t="shared" ref="CF329" si="1488">CF328/CA328-1</f>
        <v>0.0578947368421052</v>
      </c>
      <c r="CG329" s="141">
        <f t="shared" ref="CG329" si="1489">CG328/CB328-1</f>
        <v>0.0461538461538462</v>
      </c>
      <c r="CH329" s="141">
        <f t="shared" ref="CH329" si="1490">CH328/CC328-1</f>
        <v>0.0600000000000001</v>
      </c>
      <c r="CI329" s="141">
        <f t="shared" ref="CI329" si="1491">CI328/CD328-1</f>
        <v>0.124378109452736</v>
      </c>
      <c r="CJ329" s="140">
        <f t="shared" ref="CJ329" si="1492">CJ328/CE328-1</f>
        <v>0.0858585858585859</v>
      </c>
      <c r="CK329" s="141">
        <f t="shared" ref="CK329:DI329" si="1493">CK328/CF328-1</f>
        <v>0.174129353233831</v>
      </c>
      <c r="CL329" s="141">
        <f t="shared" si="1493"/>
        <v>0.196078431372549</v>
      </c>
      <c r="CM329" s="141">
        <f t="shared" si="1493"/>
        <v>0.212264150943396</v>
      </c>
      <c r="CN329" s="141">
        <f t="shared" si="1493"/>
        <v>0.190265486725664</v>
      </c>
      <c r="CO329" s="140">
        <f t="shared" si="1493"/>
        <v>0.193023255813954</v>
      </c>
      <c r="CP329" s="141">
        <f t="shared" si="1493"/>
        <v>0.152542372881356</v>
      </c>
      <c r="CQ329" s="141">
        <f t="shared" si="1493"/>
        <v>0.122950819672131</v>
      </c>
      <c r="CR329" s="141">
        <f t="shared" si="1493"/>
        <v>0.0894941634241244</v>
      </c>
      <c r="CS329" s="141">
        <f t="shared" si="1493"/>
        <v>0.0669144981412639</v>
      </c>
      <c r="CT329" s="140">
        <f t="shared" si="1493"/>
        <v>0.0935672514619883</v>
      </c>
      <c r="CU329" s="141">
        <f t="shared" si="1493"/>
        <v>0.0661764705882353</v>
      </c>
      <c r="CV329" s="141">
        <f t="shared" si="1493"/>
        <v>0.0656934306569343</v>
      </c>
      <c r="CW329" s="141">
        <f t="shared" si="1493"/>
        <v>0.0714285714285714</v>
      </c>
      <c r="CX329" s="141">
        <f t="shared" si="1493"/>
        <v>0.0662020905923344</v>
      </c>
      <c r="CY329" s="140">
        <f t="shared" si="1493"/>
        <v>0.0659536541889483</v>
      </c>
      <c r="CZ329" s="141">
        <f t="shared" si="1493"/>
        <v>0.0620689655172413</v>
      </c>
      <c r="DA329" s="141">
        <f t="shared" si="1493"/>
        <v>0.0684931506849316</v>
      </c>
      <c r="DB329" s="141">
        <f t="shared" si="1493"/>
        <v>0.0633333333333332</v>
      </c>
      <c r="DC329" s="141">
        <f t="shared" si="1493"/>
        <v>0.0588235294117647</v>
      </c>
      <c r="DD329" s="140">
        <f t="shared" si="1493"/>
        <v>0.0635451505016722</v>
      </c>
      <c r="DE329" s="141">
        <f t="shared" si="1493"/>
        <v>0.0714285714285714</v>
      </c>
      <c r="DF329" s="141">
        <f t="shared" si="1493"/>
        <v>0.0737179487179487</v>
      </c>
      <c r="DG329" s="141">
        <f t="shared" si="1493"/>
        <v>0.0564263322884013</v>
      </c>
      <c r="DH329" s="141">
        <f t="shared" si="1493"/>
        <v>0.0493827160493827</v>
      </c>
      <c r="DI329" s="140">
        <f t="shared" si="1493"/>
        <v>0.0613207547169812</v>
      </c>
      <c r="DJ329" s="141">
        <f t="shared" ref="DJ329" si="1494">DJ328/DE328-1</f>
        <v>0.0363636363636364</v>
      </c>
      <c r="DK329" s="141">
        <f t="shared" ref="DK329" si="1495">DK328/DF328-1</f>
        <v>0.026865671641791</v>
      </c>
      <c r="DL329" s="141">
        <f t="shared" ref="DL329" si="1496">DL328/DG328-1</f>
        <v>0.032640949554896</v>
      </c>
      <c r="DM329" s="141">
        <f t="shared" ref="DM329" si="1497">DM328/DH328-1</f>
        <v>0.0411764705882354</v>
      </c>
      <c r="DN329" s="140">
        <f t="shared" ref="DN329" si="1498">DN328/DI328-1</f>
        <v>0.0340740740740741</v>
      </c>
      <c r="DO329" s="141">
        <f t="shared" ref="DO329" si="1499">DO328/DJ328-1</f>
        <v>0.0467836257309941</v>
      </c>
      <c r="DP329" s="141">
        <f t="shared" ref="DP329" si="1500">DP328/DK328-1</f>
        <v>0.0465116279069768</v>
      </c>
      <c r="DQ329" s="141">
        <f t="shared" ref="DQ329" si="1501">DQ328/DL328-1</f>
        <v>0.0459770114942528</v>
      </c>
      <c r="DR329" s="141">
        <f t="shared" ref="DR329" si="1502">DR328/DM328-1</f>
        <v>0.0451977401129944</v>
      </c>
      <c r="DS329" s="140">
        <f t="shared" ref="DS329" si="1503">DS328/DN328-1</f>
        <v>0.0458452722063036</v>
      </c>
    </row>
    <row r="330" s="3" customFormat="1" spans="2:123">
      <c r="B330" s="321"/>
      <c r="C330" s="322"/>
      <c r="D330" s="323"/>
      <c r="E330" s="323"/>
      <c r="F330" s="323"/>
      <c r="G330" s="323"/>
      <c r="H330" s="324"/>
      <c r="I330" s="323"/>
      <c r="J330" s="323"/>
      <c r="K330" s="323"/>
      <c r="L330" s="323"/>
      <c r="M330" s="324"/>
      <c r="N330" s="323"/>
      <c r="O330" s="323"/>
      <c r="P330" s="323"/>
      <c r="Q330" s="323"/>
      <c r="R330" s="324"/>
      <c r="S330" s="323"/>
      <c r="T330" s="323"/>
      <c r="U330" s="323"/>
      <c r="V330" s="323"/>
      <c r="W330" s="324"/>
      <c r="X330" s="323"/>
      <c r="Y330" s="323"/>
      <c r="Z330" s="325"/>
      <c r="AA330" s="325"/>
      <c r="AB330" s="324"/>
      <c r="AC330" s="325"/>
      <c r="AD330" s="325"/>
      <c r="AE330" s="325"/>
      <c r="AF330" s="325"/>
      <c r="AG330" s="326"/>
      <c r="AH330" s="325"/>
      <c r="AI330" s="325"/>
      <c r="AJ330" s="325"/>
      <c r="AK330" s="325"/>
      <c r="AL330" s="326"/>
      <c r="AM330" s="325"/>
      <c r="AN330" s="325"/>
      <c r="AO330" s="325"/>
      <c r="AP330" s="325"/>
      <c r="AQ330" s="326"/>
      <c r="AR330" s="325"/>
      <c r="AS330" s="325"/>
      <c r="AT330" s="325"/>
      <c r="AU330" s="325"/>
      <c r="AV330" s="326"/>
      <c r="AW330" s="325"/>
      <c r="AX330" s="325"/>
      <c r="AY330" s="325"/>
      <c r="AZ330" s="325"/>
      <c r="BA330" s="326"/>
      <c r="BB330" s="325"/>
      <c r="BC330" s="325"/>
      <c r="BD330" s="325"/>
      <c r="BE330" s="325"/>
      <c r="BF330" s="326"/>
      <c r="BG330" s="325"/>
      <c r="BH330" s="325"/>
      <c r="BI330" s="325"/>
      <c r="BJ330" s="325"/>
      <c r="BK330" s="326"/>
      <c r="BL330" s="325"/>
      <c r="BM330" s="325"/>
      <c r="BN330" s="325"/>
      <c r="BO330" s="325"/>
      <c r="BP330" s="326"/>
      <c r="BQ330" s="325"/>
      <c r="BR330" s="325"/>
      <c r="BS330" s="325"/>
      <c r="BT330" s="327"/>
      <c r="BU330" s="328"/>
      <c r="BV330" s="327"/>
      <c r="BW330" s="327"/>
      <c r="BX330" s="327"/>
      <c r="BY330" s="323"/>
      <c r="BZ330" s="324"/>
      <c r="CA330" s="323"/>
      <c r="CB330" s="323"/>
      <c r="CC330" s="323"/>
      <c r="CD330" s="323"/>
      <c r="CE330" s="324"/>
      <c r="CF330" s="369"/>
      <c r="CG330" s="369"/>
      <c r="CH330" s="369"/>
      <c r="CI330" s="369"/>
      <c r="CJ330" s="370"/>
      <c r="CK330" s="369"/>
      <c r="CL330" s="369"/>
      <c r="CM330" s="369"/>
      <c r="CN330" s="369"/>
      <c r="CO330" s="370"/>
      <c r="CP330" s="369"/>
      <c r="CQ330" s="369"/>
      <c r="CR330" s="369"/>
      <c r="CS330" s="369"/>
      <c r="CT330" s="370"/>
      <c r="CU330" s="369"/>
      <c r="CV330" s="369"/>
      <c r="CW330" s="369"/>
      <c r="CX330" s="369"/>
      <c r="CY330" s="370"/>
      <c r="CZ330" s="369"/>
      <c r="DA330" s="369"/>
      <c r="DB330" s="323"/>
      <c r="DC330" s="323"/>
      <c r="DD330" s="324"/>
      <c r="DE330" s="323"/>
      <c r="DF330" s="323"/>
      <c r="DG330" s="323"/>
      <c r="DH330" s="323"/>
      <c r="DI330" s="324"/>
      <c r="DJ330" s="323"/>
      <c r="DK330" s="323"/>
      <c r="DL330" s="323"/>
      <c r="DM330" s="323"/>
      <c r="DN330" s="324"/>
      <c r="DO330" s="323"/>
      <c r="DP330" s="323"/>
      <c r="DQ330" s="323"/>
      <c r="DR330" s="323"/>
      <c r="DS330" s="324"/>
    </row>
    <row r="331" s="3" customFormat="1" spans="2:123">
      <c r="B331" s="130"/>
      <c r="C331" s="284"/>
      <c r="D331" s="189"/>
      <c r="E331" s="189"/>
      <c r="F331" s="189"/>
      <c r="G331" s="189"/>
      <c r="H331" s="188"/>
      <c r="I331" s="189"/>
      <c r="J331" s="189"/>
      <c r="K331" s="189"/>
      <c r="L331" s="189"/>
      <c r="M331" s="188"/>
      <c r="N331" s="189"/>
      <c r="O331" s="189"/>
      <c r="P331" s="189"/>
      <c r="Q331" s="189"/>
      <c r="R331" s="188"/>
      <c r="S331" s="189"/>
      <c r="T331" s="189"/>
      <c r="U331" s="189"/>
      <c r="V331" s="189"/>
      <c r="W331" s="188"/>
      <c r="X331" s="189"/>
      <c r="Y331" s="189"/>
      <c r="Z331" s="195"/>
      <c r="AA331" s="195"/>
      <c r="AB331" s="188"/>
      <c r="AC331" s="195"/>
      <c r="AD331" s="195"/>
      <c r="AE331" s="195"/>
      <c r="AF331" s="195"/>
      <c r="AG331" s="194"/>
      <c r="AH331" s="195"/>
      <c r="AI331" s="195"/>
      <c r="AJ331" s="195"/>
      <c r="AK331" s="195"/>
      <c r="AL331" s="194"/>
      <c r="AM331" s="195"/>
      <c r="AN331" s="195"/>
      <c r="AO331" s="195"/>
      <c r="AP331" s="195"/>
      <c r="AQ331" s="194"/>
      <c r="AR331" s="195"/>
      <c r="AS331" s="195"/>
      <c r="AT331" s="195"/>
      <c r="AU331" s="195"/>
      <c r="AV331" s="194"/>
      <c r="AW331" s="195"/>
      <c r="AX331" s="195"/>
      <c r="AY331" s="195"/>
      <c r="AZ331" s="195"/>
      <c r="BA331" s="194"/>
      <c r="BB331" s="195"/>
      <c r="BC331" s="195"/>
      <c r="BD331" s="195"/>
      <c r="BE331" s="195"/>
      <c r="BF331" s="194"/>
      <c r="BG331" s="195"/>
      <c r="BH331" s="195"/>
      <c r="BI331" s="195"/>
      <c r="BJ331" s="195"/>
      <c r="BK331" s="194"/>
      <c r="BL331" s="195"/>
      <c r="BM331" s="195"/>
      <c r="BN331" s="195"/>
      <c r="BO331" s="195"/>
      <c r="BP331" s="194"/>
      <c r="BQ331" s="195"/>
      <c r="BR331" s="195"/>
      <c r="BS331" s="195"/>
      <c r="BT331" s="120"/>
      <c r="BU331" s="119"/>
      <c r="BV331" s="120"/>
      <c r="BW331" s="120"/>
      <c r="BX331" s="120"/>
      <c r="BY331" s="189"/>
      <c r="BZ331" s="188"/>
      <c r="CA331" s="189"/>
      <c r="CB331" s="189"/>
      <c r="CC331" s="189"/>
      <c r="CD331" s="189"/>
      <c r="CE331" s="188"/>
      <c r="CF331" s="189"/>
      <c r="CG331" s="189"/>
      <c r="CH331" s="189"/>
      <c r="CI331" s="189"/>
      <c r="CJ331" s="188"/>
      <c r="CK331" s="189"/>
      <c r="CL331" s="189"/>
      <c r="CM331" s="189"/>
      <c r="CN331" s="189"/>
      <c r="CO331" s="188"/>
      <c r="CP331" s="189"/>
      <c r="CQ331" s="189"/>
      <c r="CR331" s="189"/>
      <c r="CS331" s="189"/>
      <c r="CT331" s="188"/>
      <c r="CU331" s="189"/>
      <c r="CV331" s="189"/>
      <c r="CW331" s="189"/>
      <c r="CX331" s="189"/>
      <c r="CY331" s="188"/>
      <c r="CZ331" s="189"/>
      <c r="DA331" s="189"/>
      <c r="DB331" s="189"/>
      <c r="DC331" s="189"/>
      <c r="DD331" s="188"/>
      <c r="DE331" s="189"/>
      <c r="DF331" s="189"/>
      <c r="DG331" s="189"/>
      <c r="DH331" s="189"/>
      <c r="DI331" s="188"/>
      <c r="DJ331" s="189"/>
      <c r="DK331" s="189"/>
      <c r="DL331" s="189"/>
      <c r="DM331" s="189"/>
      <c r="DN331" s="188"/>
      <c r="DO331" s="189"/>
      <c r="DP331" s="189"/>
      <c r="DQ331" s="189"/>
      <c r="DR331" s="189"/>
      <c r="DS331" s="188"/>
    </row>
    <row r="332" s="3" customFormat="1" spans="2:123">
      <c r="B332" s="123" t="s">
        <v>318</v>
      </c>
      <c r="C332" s="284"/>
      <c r="D332" s="189"/>
      <c r="E332" s="189"/>
      <c r="F332" s="189"/>
      <c r="G332" s="189"/>
      <c r="H332" s="188"/>
      <c r="I332" s="189"/>
      <c r="J332" s="189"/>
      <c r="K332" s="189"/>
      <c r="L332" s="189"/>
      <c r="M332" s="188"/>
      <c r="N332" s="189"/>
      <c r="O332" s="189"/>
      <c r="P332" s="189"/>
      <c r="Q332" s="189"/>
      <c r="R332" s="188"/>
      <c r="S332" s="189"/>
      <c r="T332" s="189"/>
      <c r="U332" s="189"/>
      <c r="V332" s="189"/>
      <c r="W332" s="188"/>
      <c r="X332" s="189"/>
      <c r="Y332" s="189"/>
      <c r="Z332" s="195"/>
      <c r="AA332" s="195"/>
      <c r="AB332" s="188"/>
      <c r="AC332" s="195"/>
      <c r="AD332" s="195"/>
      <c r="AE332" s="195"/>
      <c r="AF332" s="195"/>
      <c r="AG332" s="194"/>
      <c r="AH332" s="195"/>
      <c r="AI332" s="195"/>
      <c r="AJ332" s="195"/>
      <c r="AK332" s="195"/>
      <c r="AL332" s="194"/>
      <c r="AM332" s="195"/>
      <c r="AN332" s="195"/>
      <c r="AO332" s="195"/>
      <c r="AP332" s="195"/>
      <c r="AQ332" s="194"/>
      <c r="AR332" s="195"/>
      <c r="AS332" s="195"/>
      <c r="AT332" s="195"/>
      <c r="AU332" s="195"/>
      <c r="AV332" s="194"/>
      <c r="AW332" s="195"/>
      <c r="AX332" s="195"/>
      <c r="AY332" s="195"/>
      <c r="AZ332" s="195"/>
      <c r="BA332" s="194"/>
      <c r="BB332" s="195"/>
      <c r="BC332" s="195"/>
      <c r="BD332" s="195"/>
      <c r="BE332" s="195"/>
      <c r="BF332" s="194"/>
      <c r="BG332" s="195"/>
      <c r="BH332" s="195"/>
      <c r="BI332" s="195"/>
      <c r="BJ332" s="195"/>
      <c r="BK332" s="194"/>
      <c r="BL332" s="195"/>
      <c r="BM332" s="195"/>
      <c r="BN332" s="195"/>
      <c r="BO332" s="195"/>
      <c r="BP332" s="194"/>
      <c r="BQ332" s="195"/>
      <c r="BR332" s="195"/>
      <c r="BS332" s="195"/>
      <c r="BT332" s="120"/>
      <c r="BU332" s="119"/>
      <c r="BV332" s="120"/>
      <c r="BW332" s="120"/>
      <c r="BX332" s="120"/>
      <c r="BY332" s="189"/>
      <c r="BZ332" s="188"/>
      <c r="CA332" s="189"/>
      <c r="CB332" s="189"/>
      <c r="CC332" s="189"/>
      <c r="CD332" s="189"/>
      <c r="CE332" s="188"/>
      <c r="CF332" s="189"/>
      <c r="CG332" s="189"/>
      <c r="CH332" s="189"/>
      <c r="CI332" s="189"/>
      <c r="CJ332" s="188"/>
      <c r="CK332" s="189"/>
      <c r="CL332" s="189"/>
      <c r="CM332" s="189"/>
      <c r="CN332" s="189"/>
      <c r="CO332" s="127">
        <v>-235.084</v>
      </c>
      <c r="CP332" s="239"/>
      <c r="CQ332" s="239"/>
      <c r="CR332" s="239"/>
      <c r="CS332" s="239"/>
      <c r="CT332" s="127">
        <v>-316.542</v>
      </c>
      <c r="CU332" s="126">
        <v>-80.074</v>
      </c>
      <c r="CV332" s="126">
        <v>-90.86</v>
      </c>
      <c r="CW332" s="126">
        <v>-80.881</v>
      </c>
      <c r="CX332" s="126">
        <f>CY332-CU332-CV332-CW332</f>
        <v>-113.091</v>
      </c>
      <c r="CY332" s="127">
        <v>-364.906</v>
      </c>
      <c r="CZ332" s="126">
        <v>-90.264</v>
      </c>
      <c r="DA332" s="126">
        <v>-108.449</v>
      </c>
      <c r="DB332" s="126">
        <v>-100.579</v>
      </c>
      <c r="DC332" s="126">
        <f>DD332-CZ332-DA332-DB332</f>
        <v>-128.752</v>
      </c>
      <c r="DD332" s="127">
        <v>-428.044</v>
      </c>
      <c r="DE332" s="126">
        <v>-100.328</v>
      </c>
      <c r="DF332" s="126">
        <v>-115.136</v>
      </c>
      <c r="DG332" s="126"/>
      <c r="DH332" s="126"/>
      <c r="DI332" s="127"/>
      <c r="DJ332" s="126"/>
      <c r="DK332" s="126"/>
      <c r="DL332" s="126"/>
      <c r="DM332" s="126"/>
      <c r="DN332" s="127"/>
      <c r="DO332" s="126"/>
      <c r="DP332" s="126"/>
      <c r="DQ332" s="126"/>
      <c r="DR332" s="126"/>
      <c r="DS332" s="127"/>
    </row>
    <row r="333" s="3" customFormat="1" spans="2:123">
      <c r="B333" s="225" t="s">
        <v>370</v>
      </c>
      <c r="C333" s="284"/>
      <c r="D333" s="189"/>
      <c r="E333" s="189"/>
      <c r="F333" s="189"/>
      <c r="G333" s="189"/>
      <c r="H333" s="188"/>
      <c r="I333" s="189"/>
      <c r="J333" s="189"/>
      <c r="K333" s="189"/>
      <c r="L333" s="189"/>
      <c r="M333" s="188"/>
      <c r="N333" s="189"/>
      <c r="O333" s="189"/>
      <c r="P333" s="189"/>
      <c r="Q333" s="189"/>
      <c r="R333" s="188"/>
      <c r="S333" s="189"/>
      <c r="T333" s="189"/>
      <c r="U333" s="189"/>
      <c r="V333" s="189"/>
      <c r="W333" s="188"/>
      <c r="X333" s="189"/>
      <c r="Y333" s="189"/>
      <c r="Z333" s="195"/>
      <c r="AA333" s="195"/>
      <c r="AB333" s="188"/>
      <c r="AC333" s="195"/>
      <c r="AD333" s="195"/>
      <c r="AE333" s="195"/>
      <c r="AF333" s="195"/>
      <c r="AG333" s="194"/>
      <c r="AH333" s="195"/>
      <c r="AI333" s="195"/>
      <c r="AJ333" s="195"/>
      <c r="AK333" s="195"/>
      <c r="AL333" s="194"/>
      <c r="AM333" s="195"/>
      <c r="AN333" s="195"/>
      <c r="AO333" s="195"/>
      <c r="AP333" s="195"/>
      <c r="AQ333" s="194"/>
      <c r="AR333" s="195"/>
      <c r="AS333" s="195"/>
      <c r="AT333" s="195"/>
      <c r="AU333" s="195"/>
      <c r="AV333" s="194"/>
      <c r="AW333" s="195"/>
      <c r="AX333" s="195"/>
      <c r="AY333" s="195"/>
      <c r="AZ333" s="195"/>
      <c r="BA333" s="194"/>
      <c r="BB333" s="195"/>
      <c r="BC333" s="195"/>
      <c r="BD333" s="195"/>
      <c r="BE333" s="195"/>
      <c r="BF333" s="194"/>
      <c r="BG333" s="195"/>
      <c r="BH333" s="195"/>
      <c r="BI333" s="195"/>
      <c r="BJ333" s="195"/>
      <c r="BK333" s="194"/>
      <c r="BL333" s="195"/>
      <c r="BM333" s="195"/>
      <c r="BN333" s="195"/>
      <c r="BO333" s="195"/>
      <c r="BP333" s="194"/>
      <c r="BQ333" s="195"/>
      <c r="BR333" s="195"/>
      <c r="BS333" s="195"/>
      <c r="BT333" s="120"/>
      <c r="BU333" s="119"/>
      <c r="BV333" s="120"/>
      <c r="BW333" s="120"/>
      <c r="BX333" s="120"/>
      <c r="BY333" s="189"/>
      <c r="BZ333" s="188"/>
      <c r="CA333" s="189"/>
      <c r="CB333" s="189"/>
      <c r="CC333" s="189"/>
      <c r="CD333" s="189"/>
      <c r="CE333" s="188"/>
      <c r="CF333" s="189"/>
      <c r="CG333" s="189"/>
      <c r="CH333" s="189"/>
      <c r="CI333" s="189"/>
      <c r="CJ333" s="188"/>
      <c r="CK333" s="189"/>
      <c r="CL333" s="189"/>
      <c r="CM333" s="189"/>
      <c r="CN333" s="189"/>
      <c r="CO333" s="140" t="s">
        <v>208</v>
      </c>
      <c r="CP333" s="239"/>
      <c r="CQ333" s="239"/>
      <c r="CR333" s="239"/>
      <c r="CS333" s="239"/>
      <c r="CT333" s="140">
        <f>CT332/CO332-1</f>
        <v>0.346505929795307</v>
      </c>
      <c r="CU333" s="291" t="s">
        <v>208</v>
      </c>
      <c r="CV333" s="291" t="s">
        <v>208</v>
      </c>
      <c r="CW333" s="291" t="s">
        <v>208</v>
      </c>
      <c r="CX333" s="291" t="s">
        <v>208</v>
      </c>
      <c r="CY333" s="140">
        <f t="shared" ref="CY333:DF333" si="1504">CY332/CT332-1</f>
        <v>0.15278857150078</v>
      </c>
      <c r="CZ333" s="291">
        <f t="shared" si="1504"/>
        <v>0.127257287009516</v>
      </c>
      <c r="DA333" s="291">
        <f t="shared" si="1504"/>
        <v>0.193583535108959</v>
      </c>
      <c r="DB333" s="291">
        <f t="shared" si="1504"/>
        <v>0.243542982900805</v>
      </c>
      <c r="DC333" s="291">
        <f t="shared" si="1504"/>
        <v>0.138481399934566</v>
      </c>
      <c r="DD333" s="140">
        <f t="shared" si="1504"/>
        <v>0.173025381879169</v>
      </c>
      <c r="DE333" s="291">
        <f t="shared" si="1504"/>
        <v>0.111495169724364</v>
      </c>
      <c r="DF333" s="291">
        <f t="shared" si="1504"/>
        <v>0.0616603195972301</v>
      </c>
      <c r="DG333" s="291"/>
      <c r="DH333" s="291"/>
      <c r="DI333" s="140"/>
      <c r="DJ333" s="291"/>
      <c r="DK333" s="291"/>
      <c r="DL333" s="291"/>
      <c r="DM333" s="291"/>
      <c r="DN333" s="140"/>
      <c r="DO333" s="291"/>
      <c r="DP333" s="291"/>
      <c r="DQ333" s="291"/>
      <c r="DR333" s="291"/>
      <c r="DS333" s="140"/>
    </row>
    <row r="334" s="87" customFormat="1" spans="2:123">
      <c r="B334" s="221" t="s">
        <v>186</v>
      </c>
      <c r="C334" s="310"/>
      <c r="D334" s="141"/>
      <c r="E334" s="141"/>
      <c r="F334" s="141"/>
      <c r="G334" s="141"/>
      <c r="H334" s="140"/>
      <c r="I334" s="141"/>
      <c r="J334" s="141"/>
      <c r="K334" s="141"/>
      <c r="L334" s="141"/>
      <c r="M334" s="140"/>
      <c r="N334" s="141"/>
      <c r="O334" s="141"/>
      <c r="P334" s="141"/>
      <c r="Q334" s="141"/>
      <c r="R334" s="140"/>
      <c r="S334" s="141"/>
      <c r="T334" s="141"/>
      <c r="U334" s="141"/>
      <c r="V334" s="141"/>
      <c r="W334" s="140"/>
      <c r="X334" s="141"/>
      <c r="Y334" s="141"/>
      <c r="Z334" s="141"/>
      <c r="AA334" s="141"/>
      <c r="AB334" s="140"/>
      <c r="AC334" s="141"/>
      <c r="AD334" s="141"/>
      <c r="AE334" s="141"/>
      <c r="AF334" s="141"/>
      <c r="AG334" s="140"/>
      <c r="AH334" s="141"/>
      <c r="AI334" s="141"/>
      <c r="AJ334" s="141"/>
      <c r="AK334" s="141"/>
      <c r="AL334" s="140"/>
      <c r="AM334" s="141"/>
      <c r="AN334" s="141"/>
      <c r="AO334" s="141"/>
      <c r="AP334" s="141"/>
      <c r="AQ334" s="140"/>
      <c r="AR334" s="141"/>
      <c r="AS334" s="141"/>
      <c r="AT334" s="141"/>
      <c r="AU334" s="141"/>
      <c r="AV334" s="140"/>
      <c r="AW334" s="141"/>
      <c r="AX334" s="141"/>
      <c r="AY334" s="141"/>
      <c r="AZ334" s="141"/>
      <c r="BA334" s="140"/>
      <c r="BB334" s="141"/>
      <c r="BC334" s="141"/>
      <c r="BD334" s="141"/>
      <c r="BE334" s="141"/>
      <c r="BF334" s="140"/>
      <c r="BG334" s="141"/>
      <c r="BH334" s="141"/>
      <c r="BI334" s="141"/>
      <c r="BJ334" s="141"/>
      <c r="BK334" s="140"/>
      <c r="BL334" s="141"/>
      <c r="BM334" s="141"/>
      <c r="BN334" s="141"/>
      <c r="BO334" s="141"/>
      <c r="BP334" s="140"/>
      <c r="BQ334" s="141"/>
      <c r="BR334" s="141"/>
      <c r="BS334" s="141"/>
      <c r="BT334" s="141"/>
      <c r="BU334" s="140"/>
      <c r="BV334" s="141"/>
      <c r="BW334" s="141"/>
      <c r="BX334" s="141"/>
      <c r="BY334" s="141"/>
      <c r="BZ334" s="140"/>
      <c r="CA334" s="141"/>
      <c r="CB334" s="141"/>
      <c r="CC334" s="141"/>
      <c r="CD334" s="141"/>
      <c r="CE334" s="140"/>
      <c r="CF334" s="141"/>
      <c r="CG334" s="141"/>
      <c r="CH334" s="141"/>
      <c r="CI334" s="141"/>
      <c r="CJ334" s="140"/>
      <c r="CK334" s="141"/>
      <c r="CL334" s="141"/>
      <c r="CM334" s="141"/>
      <c r="CN334" s="141"/>
      <c r="CO334" s="140">
        <f>-CO332/CO294</f>
        <v>0.328072557674783</v>
      </c>
      <c r="CP334" s="141"/>
      <c r="CQ334" s="141"/>
      <c r="CR334" s="141"/>
      <c r="CS334" s="141"/>
      <c r="CT334" s="140">
        <f t="shared" ref="CT334:DB334" si="1505">-CT332/CT294</f>
        <v>0.309161994040265</v>
      </c>
      <c r="CU334" s="141">
        <f t="shared" si="1505"/>
        <v>0.283106056052694</v>
      </c>
      <c r="CV334" s="141">
        <f t="shared" si="1505"/>
        <v>0.288027490363157</v>
      </c>
      <c r="CW334" s="141">
        <f t="shared" si="1505"/>
        <v>0.262651815288693</v>
      </c>
      <c r="CX334" s="141">
        <f t="shared" si="1505"/>
        <v>0.288206301797164</v>
      </c>
      <c r="CY334" s="140">
        <f t="shared" si="1505"/>
        <v>0.280992397390179</v>
      </c>
      <c r="CZ334" s="141">
        <f t="shared" si="1505"/>
        <v>0.275194282944259</v>
      </c>
      <c r="DA334" s="141">
        <f t="shared" si="1505"/>
        <v>0.289889977118662</v>
      </c>
      <c r="DB334" s="141">
        <f t="shared" si="1505"/>
        <v>0.273925855720417</v>
      </c>
      <c r="DC334" s="141">
        <f t="shared" ref="DC334" si="1506">-DC332/DC294</f>
        <v>0.298398983952757</v>
      </c>
      <c r="DD334" s="140">
        <f t="shared" ref="DD334:DF334" si="1507">-DD332/DD294</f>
        <v>0.285218726282803</v>
      </c>
      <c r="DE334" s="141">
        <f t="shared" si="1507"/>
        <v>0.269700374733198</v>
      </c>
      <c r="DF334" s="141">
        <f t="shared" si="1507"/>
        <v>0.293891220224421</v>
      </c>
      <c r="DG334" s="141"/>
      <c r="DH334" s="141"/>
      <c r="DI334" s="140"/>
      <c r="DJ334" s="141"/>
      <c r="DK334" s="141"/>
      <c r="DL334" s="141"/>
      <c r="DM334" s="141"/>
      <c r="DN334" s="140"/>
      <c r="DO334" s="141"/>
      <c r="DP334" s="141"/>
      <c r="DQ334" s="141"/>
      <c r="DR334" s="141"/>
      <c r="DS334" s="140"/>
    </row>
    <row r="335" s="87" customFormat="1" spans="2:123">
      <c r="B335" s="221" t="s">
        <v>378</v>
      </c>
      <c r="C335" s="310"/>
      <c r="D335" s="141"/>
      <c r="E335" s="141"/>
      <c r="F335" s="141"/>
      <c r="G335" s="141"/>
      <c r="H335" s="140"/>
      <c r="I335" s="141"/>
      <c r="J335" s="141"/>
      <c r="K335" s="141"/>
      <c r="L335" s="141"/>
      <c r="M335" s="140"/>
      <c r="N335" s="141"/>
      <c r="O335" s="141"/>
      <c r="P335" s="141"/>
      <c r="Q335" s="141"/>
      <c r="R335" s="140"/>
      <c r="S335" s="141"/>
      <c r="T335" s="141"/>
      <c r="U335" s="141"/>
      <c r="V335" s="141"/>
      <c r="W335" s="140"/>
      <c r="X335" s="141"/>
      <c r="Y335" s="141"/>
      <c r="Z335" s="141"/>
      <c r="AA335" s="141"/>
      <c r="AB335" s="140"/>
      <c r="AC335" s="141"/>
      <c r="AD335" s="141"/>
      <c r="AE335" s="141"/>
      <c r="AF335" s="141"/>
      <c r="AG335" s="140"/>
      <c r="AH335" s="141"/>
      <c r="AI335" s="141"/>
      <c r="AJ335" s="141"/>
      <c r="AK335" s="141"/>
      <c r="AL335" s="140"/>
      <c r="AM335" s="141"/>
      <c r="AN335" s="141"/>
      <c r="AO335" s="141"/>
      <c r="AP335" s="141"/>
      <c r="AQ335" s="140"/>
      <c r="AR335" s="141"/>
      <c r="AS335" s="141"/>
      <c r="AT335" s="141"/>
      <c r="AU335" s="141"/>
      <c r="AV335" s="140"/>
      <c r="AW335" s="141"/>
      <c r="AX335" s="141"/>
      <c r="AY335" s="141"/>
      <c r="AZ335" s="141"/>
      <c r="BA335" s="140"/>
      <c r="BB335" s="141"/>
      <c r="BC335" s="141"/>
      <c r="BD335" s="141"/>
      <c r="BE335" s="141"/>
      <c r="BF335" s="140"/>
      <c r="BG335" s="141"/>
      <c r="BH335" s="141"/>
      <c r="BI335" s="141"/>
      <c r="BJ335" s="141"/>
      <c r="BK335" s="140"/>
      <c r="BL335" s="141"/>
      <c r="BM335" s="141"/>
      <c r="BN335" s="141"/>
      <c r="BO335" s="141"/>
      <c r="BP335" s="140"/>
      <c r="BQ335" s="141"/>
      <c r="BR335" s="141"/>
      <c r="BS335" s="141"/>
      <c r="BT335" s="141"/>
      <c r="BU335" s="140"/>
      <c r="BV335" s="141"/>
      <c r="BW335" s="141"/>
      <c r="BX335" s="141"/>
      <c r="BY335" s="141"/>
      <c r="BZ335" s="140"/>
      <c r="CA335" s="141"/>
      <c r="CB335" s="141"/>
      <c r="CC335" s="141"/>
      <c r="CD335" s="141"/>
      <c r="CE335" s="140"/>
      <c r="CF335" s="141"/>
      <c r="CG335" s="141"/>
      <c r="CH335" s="141"/>
      <c r="CI335" s="141"/>
      <c r="CJ335" s="140"/>
      <c r="CK335" s="141"/>
      <c r="CL335" s="141"/>
      <c r="CM335" s="141"/>
      <c r="CN335" s="141"/>
      <c r="CO335" s="140">
        <f>(CO294+CO332)/CO294</f>
        <v>0.671927442325217</v>
      </c>
      <c r="CP335" s="141"/>
      <c r="CQ335" s="141"/>
      <c r="CR335" s="141"/>
      <c r="CS335" s="141"/>
      <c r="CT335" s="140">
        <f t="shared" ref="CT335:DB335" si="1508">(CT294+CT332)/CT294</f>
        <v>0.690838005959735</v>
      </c>
      <c r="CU335" s="141">
        <f t="shared" si="1508"/>
        <v>0.716893943947306</v>
      </c>
      <c r="CV335" s="141">
        <f t="shared" si="1508"/>
        <v>0.711972509636843</v>
      </c>
      <c r="CW335" s="141">
        <f t="shared" si="1508"/>
        <v>0.737348184711307</v>
      </c>
      <c r="CX335" s="141">
        <f t="shared" si="1508"/>
        <v>0.711793698202836</v>
      </c>
      <c r="CY335" s="140">
        <f t="shared" si="1508"/>
        <v>0.719007602609821</v>
      </c>
      <c r="CZ335" s="141">
        <f t="shared" si="1508"/>
        <v>0.724805717055741</v>
      </c>
      <c r="DA335" s="141">
        <f t="shared" si="1508"/>
        <v>0.710110022881338</v>
      </c>
      <c r="DB335" s="141">
        <f t="shared" si="1508"/>
        <v>0.726074144279583</v>
      </c>
      <c r="DC335" s="141">
        <f t="shared" ref="DC335" si="1509">(DC294+DC332)/DC294</f>
        <v>0.701601016047243</v>
      </c>
      <c r="DD335" s="140">
        <f t="shared" ref="DD335:DF335" si="1510">(DD294+DD332)/DD294</f>
        <v>0.714781273717197</v>
      </c>
      <c r="DE335" s="141">
        <f t="shared" si="1510"/>
        <v>0.730299625266802</v>
      </c>
      <c r="DF335" s="141">
        <f t="shared" si="1510"/>
        <v>0.706108779775579</v>
      </c>
      <c r="DG335" s="141"/>
      <c r="DH335" s="141"/>
      <c r="DI335" s="140"/>
      <c r="DJ335" s="141"/>
      <c r="DK335" s="141"/>
      <c r="DL335" s="141"/>
      <c r="DM335" s="141"/>
      <c r="DN335" s="140"/>
      <c r="DO335" s="141"/>
      <c r="DP335" s="141"/>
      <c r="DQ335" s="141"/>
      <c r="DR335" s="141"/>
      <c r="DS335" s="140"/>
    </row>
    <row r="336" s="3" customFormat="1" spans="2:123">
      <c r="B336" s="225" t="s">
        <v>379</v>
      </c>
      <c r="C336" s="284"/>
      <c r="D336" s="189"/>
      <c r="E336" s="189"/>
      <c r="F336" s="189"/>
      <c r="G336" s="189"/>
      <c r="H336" s="188"/>
      <c r="I336" s="189"/>
      <c r="J336" s="189"/>
      <c r="K336" s="189"/>
      <c r="L336" s="189"/>
      <c r="M336" s="188"/>
      <c r="N336" s="189"/>
      <c r="O336" s="189"/>
      <c r="P336" s="189"/>
      <c r="Q336" s="189"/>
      <c r="R336" s="188"/>
      <c r="S336" s="189"/>
      <c r="T336" s="189"/>
      <c r="U336" s="189"/>
      <c r="V336" s="189"/>
      <c r="W336" s="188"/>
      <c r="X336" s="189"/>
      <c r="Y336" s="189"/>
      <c r="Z336" s="195"/>
      <c r="AA336" s="195"/>
      <c r="AB336" s="188"/>
      <c r="AC336" s="195"/>
      <c r="AD336" s="195"/>
      <c r="AE336" s="195"/>
      <c r="AF336" s="195"/>
      <c r="AG336" s="194"/>
      <c r="AH336" s="195"/>
      <c r="AI336" s="195"/>
      <c r="AJ336" s="195"/>
      <c r="AK336" s="195"/>
      <c r="AL336" s="194"/>
      <c r="AM336" s="195"/>
      <c r="AN336" s="195"/>
      <c r="AO336" s="195"/>
      <c r="AP336" s="195"/>
      <c r="AQ336" s="194"/>
      <c r="AR336" s="195"/>
      <c r="AS336" s="195"/>
      <c r="AT336" s="195"/>
      <c r="AU336" s="195"/>
      <c r="AV336" s="194"/>
      <c r="AW336" s="195"/>
      <c r="AX336" s="195"/>
      <c r="AY336" s="195"/>
      <c r="AZ336" s="195"/>
      <c r="BA336" s="194"/>
      <c r="BB336" s="195"/>
      <c r="BC336" s="195"/>
      <c r="BD336" s="195"/>
      <c r="BE336" s="195"/>
      <c r="BF336" s="194"/>
      <c r="BG336" s="195"/>
      <c r="BH336" s="195"/>
      <c r="BI336" s="195"/>
      <c r="BJ336" s="195"/>
      <c r="BK336" s="194"/>
      <c r="BL336" s="195"/>
      <c r="BM336" s="195"/>
      <c r="BN336" s="195"/>
      <c r="BO336" s="195"/>
      <c r="BP336" s="194"/>
      <c r="BQ336" s="195"/>
      <c r="BR336" s="195"/>
      <c r="BS336" s="195"/>
      <c r="BT336" s="120"/>
      <c r="BU336" s="119"/>
      <c r="BV336" s="120"/>
      <c r="BW336" s="120"/>
      <c r="BX336" s="120"/>
      <c r="BY336" s="189"/>
      <c r="BZ336" s="188"/>
      <c r="CA336" s="189"/>
      <c r="CB336" s="189"/>
      <c r="CC336" s="189"/>
      <c r="CD336" s="189"/>
      <c r="CE336" s="188"/>
      <c r="CF336" s="189"/>
      <c r="CG336" s="189"/>
      <c r="CH336" s="189"/>
      <c r="CI336" s="189"/>
      <c r="CJ336" s="188"/>
      <c r="CK336" s="189"/>
      <c r="CL336" s="189"/>
      <c r="CM336" s="189"/>
      <c r="CN336" s="189"/>
      <c r="CO336" s="329" t="s">
        <v>208</v>
      </c>
      <c r="CP336" s="239"/>
      <c r="CQ336" s="239"/>
      <c r="CR336" s="239"/>
      <c r="CS336" s="239"/>
      <c r="CT336" s="329">
        <f>(CT335-CO335)*100*100</f>
        <v>189.105636345178</v>
      </c>
      <c r="CU336" s="330" t="s">
        <v>208</v>
      </c>
      <c r="CV336" s="330" t="s">
        <v>208</v>
      </c>
      <c r="CW336" s="330" t="s">
        <v>208</v>
      </c>
      <c r="CX336" s="330" t="s">
        <v>208</v>
      </c>
      <c r="CY336" s="329">
        <f t="shared" ref="CY336:DF336" si="1511">(CY335-CT335)*100*100</f>
        <v>281.695966500862</v>
      </c>
      <c r="CZ336" s="330">
        <f t="shared" si="1511"/>
        <v>79.1177310843449</v>
      </c>
      <c r="DA336" s="330">
        <f t="shared" si="1511"/>
        <v>-18.6248675550538</v>
      </c>
      <c r="DB336" s="330">
        <f t="shared" si="1511"/>
        <v>-112.740404317249</v>
      </c>
      <c r="DC336" s="330">
        <f t="shared" si="1511"/>
        <v>-101.926821555933</v>
      </c>
      <c r="DD336" s="329">
        <f t="shared" si="1511"/>
        <v>-42.2632889262387</v>
      </c>
      <c r="DE336" s="330">
        <f t="shared" si="1511"/>
        <v>54.9390821106177</v>
      </c>
      <c r="DF336" s="330">
        <f t="shared" si="1511"/>
        <v>-40.0124310575845</v>
      </c>
      <c r="DG336" s="334"/>
      <c r="DH336" s="334"/>
      <c r="DI336" s="329"/>
      <c r="DJ336" s="334"/>
      <c r="DK336" s="334"/>
      <c r="DL336" s="334"/>
      <c r="DM336" s="334"/>
      <c r="DN336" s="329"/>
      <c r="DO336" s="334"/>
      <c r="DP336" s="334"/>
      <c r="DQ336" s="334"/>
      <c r="DR336" s="334"/>
      <c r="DS336" s="329"/>
    </row>
    <row r="337" s="3" customFormat="1" spans="2:123">
      <c r="B337" s="123" t="s">
        <v>321</v>
      </c>
      <c r="C337" s="284"/>
      <c r="D337" s="189"/>
      <c r="E337" s="189"/>
      <c r="F337" s="189"/>
      <c r="G337" s="189"/>
      <c r="H337" s="188"/>
      <c r="I337" s="189"/>
      <c r="J337" s="189"/>
      <c r="K337" s="189"/>
      <c r="L337" s="189"/>
      <c r="M337" s="188"/>
      <c r="N337" s="189"/>
      <c r="O337" s="189"/>
      <c r="P337" s="189"/>
      <c r="Q337" s="189"/>
      <c r="R337" s="188"/>
      <c r="S337" s="189"/>
      <c r="T337" s="189"/>
      <c r="U337" s="189"/>
      <c r="V337" s="189"/>
      <c r="W337" s="188"/>
      <c r="X337" s="189"/>
      <c r="Y337" s="189"/>
      <c r="Z337" s="195"/>
      <c r="AA337" s="195"/>
      <c r="AB337" s="188"/>
      <c r="AC337" s="195"/>
      <c r="AD337" s="195"/>
      <c r="AE337" s="195"/>
      <c r="AF337" s="195"/>
      <c r="AG337" s="194"/>
      <c r="AH337" s="195"/>
      <c r="AI337" s="195"/>
      <c r="AJ337" s="195"/>
      <c r="AK337" s="195"/>
      <c r="AL337" s="194"/>
      <c r="AM337" s="195"/>
      <c r="AN337" s="195"/>
      <c r="AO337" s="195"/>
      <c r="AP337" s="195"/>
      <c r="AQ337" s="194"/>
      <c r="AR337" s="195"/>
      <c r="AS337" s="195"/>
      <c r="AT337" s="195"/>
      <c r="AU337" s="195"/>
      <c r="AV337" s="194"/>
      <c r="AW337" s="195"/>
      <c r="AX337" s="195"/>
      <c r="AY337" s="195"/>
      <c r="AZ337" s="195"/>
      <c r="BA337" s="194"/>
      <c r="BB337" s="195"/>
      <c r="BC337" s="195"/>
      <c r="BD337" s="195"/>
      <c r="BE337" s="195"/>
      <c r="BF337" s="194"/>
      <c r="BG337" s="195"/>
      <c r="BH337" s="195"/>
      <c r="BI337" s="195"/>
      <c r="BJ337" s="195"/>
      <c r="BK337" s="194"/>
      <c r="BL337" s="195"/>
      <c r="BM337" s="195"/>
      <c r="BN337" s="195"/>
      <c r="BO337" s="195"/>
      <c r="BP337" s="194"/>
      <c r="BQ337" s="195"/>
      <c r="BR337" s="195"/>
      <c r="BS337" s="195"/>
      <c r="BT337" s="120"/>
      <c r="BU337" s="119"/>
      <c r="BV337" s="120"/>
      <c r="BW337" s="120"/>
      <c r="BX337" s="120"/>
      <c r="BY337" s="189"/>
      <c r="BZ337" s="188"/>
      <c r="CA337" s="189"/>
      <c r="CB337" s="189"/>
      <c r="CC337" s="189"/>
      <c r="CD337" s="189"/>
      <c r="CE337" s="188"/>
      <c r="CF337" s="189"/>
      <c r="CG337" s="189"/>
      <c r="CH337" s="189"/>
      <c r="CI337" s="189"/>
      <c r="CJ337" s="188"/>
      <c r="CK337" s="189"/>
      <c r="CL337" s="189"/>
      <c r="CM337" s="189"/>
      <c r="CN337" s="189"/>
      <c r="CO337" s="127">
        <v>-136.326</v>
      </c>
      <c r="CP337" s="239"/>
      <c r="CQ337" s="239"/>
      <c r="CR337" s="239"/>
      <c r="CS337" s="239"/>
      <c r="CT337" s="127">
        <v>-171.992</v>
      </c>
      <c r="CU337" s="126">
        <v>-47.742</v>
      </c>
      <c r="CV337" s="126">
        <v>-51.891</v>
      </c>
      <c r="CW337" s="126">
        <v>-57.105</v>
      </c>
      <c r="CX337" s="126">
        <f>CY337-CU337-CV337-CW337</f>
        <v>-60.798</v>
      </c>
      <c r="CY337" s="127">
        <v>-217.536</v>
      </c>
      <c r="CZ337" s="126">
        <v>-58.471</v>
      </c>
      <c r="DA337" s="126">
        <v>-63.2</v>
      </c>
      <c r="DB337" s="126">
        <v>-65.916</v>
      </c>
      <c r="DC337" s="126">
        <f>DD337-CZ337-DA337-DB337</f>
        <v>-68.169</v>
      </c>
      <c r="DD337" s="127">
        <v>-255.756</v>
      </c>
      <c r="DE337" s="126">
        <v>-72.009</v>
      </c>
      <c r="DF337" s="126">
        <v>-72.554</v>
      </c>
      <c r="DG337" s="126"/>
      <c r="DH337" s="126"/>
      <c r="DI337" s="127"/>
      <c r="DJ337" s="126"/>
      <c r="DK337" s="126"/>
      <c r="DL337" s="126"/>
      <c r="DM337" s="126"/>
      <c r="DN337" s="127"/>
      <c r="DO337" s="126"/>
      <c r="DP337" s="126"/>
      <c r="DQ337" s="126"/>
      <c r="DR337" s="126"/>
      <c r="DS337" s="127"/>
    </row>
    <row r="338" s="3" customFormat="1" spans="2:123">
      <c r="B338" s="225" t="s">
        <v>370</v>
      </c>
      <c r="C338" s="284"/>
      <c r="D338" s="189"/>
      <c r="E338" s="189"/>
      <c r="F338" s="189"/>
      <c r="G338" s="189"/>
      <c r="H338" s="188"/>
      <c r="I338" s="189"/>
      <c r="J338" s="189"/>
      <c r="K338" s="189"/>
      <c r="L338" s="189"/>
      <c r="M338" s="188"/>
      <c r="N338" s="189"/>
      <c r="O338" s="189"/>
      <c r="P338" s="189"/>
      <c r="Q338" s="189"/>
      <c r="R338" s="188"/>
      <c r="S338" s="189"/>
      <c r="T338" s="189"/>
      <c r="U338" s="189"/>
      <c r="V338" s="189"/>
      <c r="W338" s="188"/>
      <c r="X338" s="189"/>
      <c r="Y338" s="189"/>
      <c r="Z338" s="195"/>
      <c r="AA338" s="195"/>
      <c r="AB338" s="188"/>
      <c r="AC338" s="195"/>
      <c r="AD338" s="195"/>
      <c r="AE338" s="195"/>
      <c r="AF338" s="195"/>
      <c r="AG338" s="194"/>
      <c r="AH338" s="195"/>
      <c r="AI338" s="195"/>
      <c r="AJ338" s="195"/>
      <c r="AK338" s="195"/>
      <c r="AL338" s="194"/>
      <c r="AM338" s="195"/>
      <c r="AN338" s="195"/>
      <c r="AO338" s="195"/>
      <c r="AP338" s="195"/>
      <c r="AQ338" s="194"/>
      <c r="AR338" s="195"/>
      <c r="AS338" s="195"/>
      <c r="AT338" s="195"/>
      <c r="AU338" s="195"/>
      <c r="AV338" s="194"/>
      <c r="AW338" s="195"/>
      <c r="AX338" s="195"/>
      <c r="AY338" s="195"/>
      <c r="AZ338" s="195"/>
      <c r="BA338" s="194"/>
      <c r="BB338" s="195"/>
      <c r="BC338" s="195"/>
      <c r="BD338" s="195"/>
      <c r="BE338" s="195"/>
      <c r="BF338" s="194"/>
      <c r="BG338" s="195"/>
      <c r="BH338" s="195"/>
      <c r="BI338" s="195"/>
      <c r="BJ338" s="195"/>
      <c r="BK338" s="194"/>
      <c r="BL338" s="195"/>
      <c r="BM338" s="195"/>
      <c r="BN338" s="195"/>
      <c r="BO338" s="195"/>
      <c r="BP338" s="194"/>
      <c r="BQ338" s="195"/>
      <c r="BR338" s="195"/>
      <c r="BS338" s="195"/>
      <c r="BT338" s="120"/>
      <c r="BU338" s="119"/>
      <c r="BV338" s="120"/>
      <c r="BW338" s="120"/>
      <c r="BX338" s="120"/>
      <c r="BY338" s="189"/>
      <c r="BZ338" s="188"/>
      <c r="CA338" s="189"/>
      <c r="CB338" s="189"/>
      <c r="CC338" s="189"/>
      <c r="CD338" s="189"/>
      <c r="CE338" s="188"/>
      <c r="CF338" s="189"/>
      <c r="CG338" s="189"/>
      <c r="CH338" s="189"/>
      <c r="CI338" s="189"/>
      <c r="CJ338" s="188"/>
      <c r="CK338" s="189"/>
      <c r="CL338" s="189"/>
      <c r="CM338" s="189"/>
      <c r="CN338" s="189"/>
      <c r="CO338" s="140" t="s">
        <v>208</v>
      </c>
      <c r="CP338" s="239"/>
      <c r="CQ338" s="239"/>
      <c r="CR338" s="239"/>
      <c r="CS338" s="239"/>
      <c r="CT338" s="140">
        <f>CT337/CO337-1</f>
        <v>0.261622874580051</v>
      </c>
      <c r="CU338" s="291" t="s">
        <v>208</v>
      </c>
      <c r="CV338" s="291" t="s">
        <v>208</v>
      </c>
      <c r="CW338" s="291" t="s">
        <v>208</v>
      </c>
      <c r="CX338" s="291" t="s">
        <v>208</v>
      </c>
      <c r="CY338" s="140">
        <f t="shared" ref="CY338:DF338" si="1512">CY337/CT337-1</f>
        <v>0.264803014093679</v>
      </c>
      <c r="CZ338" s="291">
        <f t="shared" si="1512"/>
        <v>0.224728750366554</v>
      </c>
      <c r="DA338" s="291">
        <f t="shared" si="1512"/>
        <v>0.217937599969166</v>
      </c>
      <c r="DB338" s="291">
        <f t="shared" si="1512"/>
        <v>0.154294720252167</v>
      </c>
      <c r="DC338" s="310">
        <f t="shared" si="1512"/>
        <v>0.121237540708575</v>
      </c>
      <c r="DD338" s="140">
        <f t="shared" si="1512"/>
        <v>0.175695057369815</v>
      </c>
      <c r="DE338" s="291">
        <f t="shared" si="1512"/>
        <v>0.231533580749431</v>
      </c>
      <c r="DF338" s="291">
        <f t="shared" si="1512"/>
        <v>0.148006329113924</v>
      </c>
      <c r="DG338" s="291"/>
      <c r="DH338" s="291"/>
      <c r="DI338" s="140"/>
      <c r="DJ338" s="291"/>
      <c r="DK338" s="291"/>
      <c r="DL338" s="291"/>
      <c r="DM338" s="291"/>
      <c r="DN338" s="140"/>
      <c r="DO338" s="291"/>
      <c r="DP338" s="291"/>
      <c r="DQ338" s="291"/>
      <c r="DR338" s="291"/>
      <c r="DS338" s="140"/>
    </row>
    <row r="339" s="87" customFormat="1" spans="2:123">
      <c r="B339" s="221" t="s">
        <v>186</v>
      </c>
      <c r="C339" s="310"/>
      <c r="D339" s="141"/>
      <c r="E339" s="141"/>
      <c r="F339" s="141"/>
      <c r="G339" s="141"/>
      <c r="H339" s="140"/>
      <c r="I339" s="141"/>
      <c r="J339" s="141"/>
      <c r="K339" s="141"/>
      <c r="L339" s="141"/>
      <c r="M339" s="140"/>
      <c r="N339" s="141"/>
      <c r="O339" s="141"/>
      <c r="P339" s="141"/>
      <c r="Q339" s="141"/>
      <c r="R339" s="140"/>
      <c r="S339" s="141"/>
      <c r="T339" s="141"/>
      <c r="U339" s="141"/>
      <c r="V339" s="141"/>
      <c r="W339" s="140"/>
      <c r="X339" s="141"/>
      <c r="Y339" s="141"/>
      <c r="Z339" s="141"/>
      <c r="AA339" s="141"/>
      <c r="AB339" s="140"/>
      <c r="AC339" s="141"/>
      <c r="AD339" s="141"/>
      <c r="AE339" s="141"/>
      <c r="AF339" s="141"/>
      <c r="AG339" s="140"/>
      <c r="AH339" s="141"/>
      <c r="AI339" s="141"/>
      <c r="AJ339" s="141"/>
      <c r="AK339" s="141"/>
      <c r="AL339" s="140"/>
      <c r="AM339" s="141"/>
      <c r="AN339" s="141"/>
      <c r="AO339" s="141"/>
      <c r="AP339" s="141"/>
      <c r="AQ339" s="140"/>
      <c r="AR339" s="141"/>
      <c r="AS339" s="141"/>
      <c r="AT339" s="141"/>
      <c r="AU339" s="141"/>
      <c r="AV339" s="140"/>
      <c r="AW339" s="141"/>
      <c r="AX339" s="141"/>
      <c r="AY339" s="141"/>
      <c r="AZ339" s="141"/>
      <c r="BA339" s="140"/>
      <c r="BB339" s="141"/>
      <c r="BC339" s="141"/>
      <c r="BD339" s="141"/>
      <c r="BE339" s="141"/>
      <c r="BF339" s="140"/>
      <c r="BG339" s="141"/>
      <c r="BH339" s="141"/>
      <c r="BI339" s="141"/>
      <c r="BJ339" s="141"/>
      <c r="BK339" s="140"/>
      <c r="BL339" s="141"/>
      <c r="BM339" s="141"/>
      <c r="BN339" s="141"/>
      <c r="BO339" s="141"/>
      <c r="BP339" s="140"/>
      <c r="BQ339" s="141"/>
      <c r="BR339" s="141"/>
      <c r="BS339" s="141"/>
      <c r="BT339" s="141"/>
      <c r="BU339" s="140"/>
      <c r="BV339" s="141"/>
      <c r="BW339" s="141"/>
      <c r="BX339" s="141"/>
      <c r="BY339" s="141"/>
      <c r="BZ339" s="140"/>
      <c r="CA339" s="141"/>
      <c r="CB339" s="141"/>
      <c r="CC339" s="141"/>
      <c r="CD339" s="141"/>
      <c r="CE339" s="140"/>
      <c r="CF339" s="141"/>
      <c r="CG339" s="141"/>
      <c r="CH339" s="141"/>
      <c r="CI339" s="141"/>
      <c r="CJ339" s="140"/>
      <c r="CK339" s="141"/>
      <c r="CL339" s="141"/>
      <c r="CM339" s="141"/>
      <c r="CN339" s="141"/>
      <c r="CO339" s="140">
        <f>-CO337/CO294</f>
        <v>0.190250376450853</v>
      </c>
      <c r="CP339" s="141"/>
      <c r="CQ339" s="141"/>
      <c r="CR339" s="141"/>
      <c r="CS339" s="141"/>
      <c r="CT339" s="140">
        <f t="shared" ref="CT339:DB339" si="1513">-CT337/CT294</f>
        <v>0.167982099307432</v>
      </c>
      <c r="CU339" s="141">
        <f t="shared" si="1513"/>
        <v>0.168794481705269</v>
      </c>
      <c r="CV339" s="141">
        <f t="shared" si="1513"/>
        <v>0.164495206938527</v>
      </c>
      <c r="CW339" s="141">
        <f t="shared" si="1513"/>
        <v>0.185441969214782</v>
      </c>
      <c r="CX339" s="141">
        <f t="shared" si="1513"/>
        <v>0.15494041733351</v>
      </c>
      <c r="CY339" s="140">
        <f t="shared" si="1513"/>
        <v>0.167511529431333</v>
      </c>
      <c r="CZ339" s="141">
        <f t="shared" si="1513"/>
        <v>0.178264700412499</v>
      </c>
      <c r="DA339" s="141">
        <f t="shared" si="1513"/>
        <v>0.168936980091098</v>
      </c>
      <c r="DB339" s="141">
        <f t="shared" si="1513"/>
        <v>0.179521537355383</v>
      </c>
      <c r="DC339" s="310">
        <f t="shared" ref="DC339" si="1514">-DC337/DC294</f>
        <v>0.157990247429753</v>
      </c>
      <c r="DD339" s="140">
        <f t="shared" ref="DD339:DF339" si="1515">-DD337/DD294</f>
        <v>0.170417995718161</v>
      </c>
      <c r="DE339" s="141">
        <f t="shared" si="1515"/>
        <v>0.193573621363556</v>
      </c>
      <c r="DF339" s="141">
        <f t="shared" si="1515"/>
        <v>0.185198231588405</v>
      </c>
      <c r="DG339" s="141"/>
      <c r="DH339" s="141"/>
      <c r="DI339" s="140"/>
      <c r="DJ339" s="141"/>
      <c r="DK339" s="141"/>
      <c r="DL339" s="141"/>
      <c r="DM339" s="141"/>
      <c r="DN339" s="140"/>
      <c r="DO339" s="141"/>
      <c r="DP339" s="141"/>
      <c r="DQ339" s="141"/>
      <c r="DR339" s="141"/>
      <c r="DS339" s="140"/>
    </row>
    <row r="340" s="3" customFormat="1" spans="2:123">
      <c r="B340" s="225" t="s">
        <v>379</v>
      </c>
      <c r="C340" s="284"/>
      <c r="D340" s="189"/>
      <c r="E340" s="189"/>
      <c r="F340" s="189"/>
      <c r="G340" s="189"/>
      <c r="H340" s="188"/>
      <c r="I340" s="189"/>
      <c r="J340" s="189"/>
      <c r="K340" s="189"/>
      <c r="L340" s="189"/>
      <c r="M340" s="188"/>
      <c r="N340" s="189"/>
      <c r="O340" s="189"/>
      <c r="P340" s="189"/>
      <c r="Q340" s="189"/>
      <c r="R340" s="188"/>
      <c r="S340" s="189"/>
      <c r="T340" s="189"/>
      <c r="U340" s="189"/>
      <c r="V340" s="189"/>
      <c r="W340" s="188"/>
      <c r="X340" s="189"/>
      <c r="Y340" s="189"/>
      <c r="Z340" s="195"/>
      <c r="AA340" s="195"/>
      <c r="AB340" s="188"/>
      <c r="AC340" s="195"/>
      <c r="AD340" s="195"/>
      <c r="AE340" s="195"/>
      <c r="AF340" s="195"/>
      <c r="AG340" s="194"/>
      <c r="AH340" s="195"/>
      <c r="AI340" s="195"/>
      <c r="AJ340" s="195"/>
      <c r="AK340" s="195"/>
      <c r="AL340" s="194"/>
      <c r="AM340" s="195"/>
      <c r="AN340" s="195"/>
      <c r="AO340" s="195"/>
      <c r="AP340" s="195"/>
      <c r="AQ340" s="194"/>
      <c r="AR340" s="195"/>
      <c r="AS340" s="195"/>
      <c r="AT340" s="195"/>
      <c r="AU340" s="195"/>
      <c r="AV340" s="194"/>
      <c r="AW340" s="195"/>
      <c r="AX340" s="195"/>
      <c r="AY340" s="195"/>
      <c r="AZ340" s="195"/>
      <c r="BA340" s="194"/>
      <c r="BB340" s="195"/>
      <c r="BC340" s="195"/>
      <c r="BD340" s="195"/>
      <c r="BE340" s="195"/>
      <c r="BF340" s="194"/>
      <c r="BG340" s="195"/>
      <c r="BH340" s="195"/>
      <c r="BI340" s="195"/>
      <c r="BJ340" s="195"/>
      <c r="BK340" s="194"/>
      <c r="BL340" s="195"/>
      <c r="BM340" s="195"/>
      <c r="BN340" s="195"/>
      <c r="BO340" s="195"/>
      <c r="BP340" s="194"/>
      <c r="BQ340" s="195"/>
      <c r="BR340" s="195"/>
      <c r="BS340" s="195"/>
      <c r="BT340" s="120"/>
      <c r="BU340" s="119"/>
      <c r="BV340" s="120"/>
      <c r="BW340" s="120"/>
      <c r="BX340" s="120"/>
      <c r="BY340" s="189"/>
      <c r="BZ340" s="188"/>
      <c r="CA340" s="189"/>
      <c r="CB340" s="189"/>
      <c r="CC340" s="189"/>
      <c r="CD340" s="189"/>
      <c r="CE340" s="188"/>
      <c r="CF340" s="189"/>
      <c r="CG340" s="189"/>
      <c r="CH340" s="189"/>
      <c r="CI340" s="189"/>
      <c r="CJ340" s="188"/>
      <c r="CK340" s="189"/>
      <c r="CL340" s="189"/>
      <c r="CM340" s="189"/>
      <c r="CN340" s="189"/>
      <c r="CO340" s="329" t="s">
        <v>208</v>
      </c>
      <c r="CP340" s="239"/>
      <c r="CQ340" s="239"/>
      <c r="CR340" s="239"/>
      <c r="CS340" s="239"/>
      <c r="CT340" s="329">
        <f>(CT339-CO339)*100*100</f>
        <v>-222.682771434212</v>
      </c>
      <c r="CU340" s="330" t="s">
        <v>208</v>
      </c>
      <c r="CV340" s="330" t="s">
        <v>208</v>
      </c>
      <c r="CW340" s="330" t="s">
        <v>208</v>
      </c>
      <c r="CX340" s="330" t="s">
        <v>208</v>
      </c>
      <c r="CY340" s="329">
        <f t="shared" ref="CY340:DF340" si="1516">(CY339-CT339)*100*100</f>
        <v>-4.70569876099475</v>
      </c>
      <c r="CZ340" s="330">
        <f t="shared" si="1516"/>
        <v>94.7021870722972</v>
      </c>
      <c r="DA340" s="330">
        <f t="shared" si="1516"/>
        <v>44.4177315257061</v>
      </c>
      <c r="DB340" s="330">
        <f t="shared" si="1516"/>
        <v>-59.2043185939939</v>
      </c>
      <c r="DC340" s="333">
        <f t="shared" si="1516"/>
        <v>30.4983009624263</v>
      </c>
      <c r="DD340" s="329">
        <f t="shared" si="1516"/>
        <v>29.0646628682811</v>
      </c>
      <c r="DE340" s="330">
        <f t="shared" si="1516"/>
        <v>153.08920951057</v>
      </c>
      <c r="DF340" s="330">
        <f t="shared" si="1516"/>
        <v>162.612514973076</v>
      </c>
      <c r="DG340" s="334"/>
      <c r="DH340" s="334"/>
      <c r="DI340" s="329"/>
      <c r="DJ340" s="334"/>
      <c r="DK340" s="334"/>
      <c r="DL340" s="334"/>
      <c r="DM340" s="334"/>
      <c r="DN340" s="329"/>
      <c r="DO340" s="334"/>
      <c r="DP340" s="334"/>
      <c r="DQ340" s="334"/>
      <c r="DR340" s="334"/>
      <c r="DS340" s="329"/>
    </row>
    <row r="341" s="3" customFormat="1" spans="2:123">
      <c r="B341" s="130" t="s">
        <v>71</v>
      </c>
      <c r="C341" s="284"/>
      <c r="D341" s="189"/>
      <c r="E341" s="189"/>
      <c r="F341" s="189"/>
      <c r="G341" s="189"/>
      <c r="H341" s="188"/>
      <c r="I341" s="189"/>
      <c r="J341" s="189"/>
      <c r="K341" s="189"/>
      <c r="L341" s="189"/>
      <c r="M341" s="188"/>
      <c r="N341" s="189"/>
      <c r="O341" s="189"/>
      <c r="P341" s="189"/>
      <c r="Q341" s="189"/>
      <c r="R341" s="188"/>
      <c r="S341" s="189"/>
      <c r="T341" s="189"/>
      <c r="U341" s="189"/>
      <c r="V341" s="189"/>
      <c r="W341" s="188"/>
      <c r="X341" s="189"/>
      <c r="Y341" s="189"/>
      <c r="Z341" s="195"/>
      <c r="AA341" s="195"/>
      <c r="AB341" s="188"/>
      <c r="AC341" s="195"/>
      <c r="AD341" s="195"/>
      <c r="AE341" s="195"/>
      <c r="AF341" s="195"/>
      <c r="AG341" s="194"/>
      <c r="AH341" s="195"/>
      <c r="AI341" s="195"/>
      <c r="AJ341" s="195"/>
      <c r="AK341" s="195"/>
      <c r="AL341" s="194"/>
      <c r="AM341" s="195"/>
      <c r="AN341" s="195"/>
      <c r="AO341" s="195"/>
      <c r="AP341" s="195"/>
      <c r="AQ341" s="194"/>
      <c r="AR341" s="195"/>
      <c r="AS341" s="195"/>
      <c r="AT341" s="195"/>
      <c r="AU341" s="195"/>
      <c r="AV341" s="194"/>
      <c r="AW341" s="195"/>
      <c r="AX341" s="195"/>
      <c r="AY341" s="195"/>
      <c r="AZ341" s="195"/>
      <c r="BA341" s="194"/>
      <c r="BB341" s="195"/>
      <c r="BC341" s="195"/>
      <c r="BD341" s="195"/>
      <c r="BE341" s="195"/>
      <c r="BF341" s="194"/>
      <c r="BG341" s="195"/>
      <c r="BH341" s="195"/>
      <c r="BI341" s="195"/>
      <c r="BJ341" s="195"/>
      <c r="BK341" s="194"/>
      <c r="BL341" s="195"/>
      <c r="BM341" s="195"/>
      <c r="BN341" s="195"/>
      <c r="BO341" s="195"/>
      <c r="BP341" s="194"/>
      <c r="BQ341" s="195"/>
      <c r="BR341" s="195"/>
      <c r="BS341" s="195"/>
      <c r="BT341" s="120"/>
      <c r="BU341" s="119"/>
      <c r="BV341" s="120"/>
      <c r="BW341" s="120"/>
      <c r="BX341" s="120"/>
      <c r="BY341" s="189"/>
      <c r="BZ341" s="188"/>
      <c r="CA341" s="189"/>
      <c r="CB341" s="189"/>
      <c r="CC341" s="189"/>
      <c r="CD341" s="189"/>
      <c r="CE341" s="188"/>
      <c r="CF341" s="189"/>
      <c r="CG341" s="189"/>
      <c r="CH341" s="189"/>
      <c r="CI341" s="189"/>
      <c r="CJ341" s="188"/>
      <c r="CK341" s="189"/>
      <c r="CL341" s="189"/>
      <c r="CM341" s="189"/>
      <c r="CN341" s="189"/>
      <c r="CO341" s="134">
        <f>CO294+CO332+CO337</f>
        <v>345.151</v>
      </c>
      <c r="CP341" s="239"/>
      <c r="CQ341" s="239"/>
      <c r="CR341" s="239"/>
      <c r="CS341" s="239"/>
      <c r="CT341" s="134">
        <f>CT294+CT332+CT337</f>
        <v>535.337</v>
      </c>
      <c r="CU341" s="133">
        <f>CU294+CU332+CU337</f>
        <v>155.025</v>
      </c>
      <c r="CV341" s="133">
        <f>CV294+CV332+CV337</f>
        <v>172.705</v>
      </c>
      <c r="CW341" s="133">
        <f>CW294+CW332+CW337</f>
        <v>169.954</v>
      </c>
      <c r="CX341" s="133">
        <f>CX294+CX332+CX337</f>
        <v>218.507</v>
      </c>
      <c r="CY341" s="134">
        <f t="shared" ref="CY341" si="1517">CY294+CY332+CY337</f>
        <v>716.191</v>
      </c>
      <c r="CZ341" s="133">
        <f t="shared" ref="CZ341:DA341" si="1518">CZ294+CZ332+CZ337</f>
        <v>179.266</v>
      </c>
      <c r="DA341" s="133">
        <f t="shared" si="1518"/>
        <v>202.455</v>
      </c>
      <c r="DB341" s="133">
        <f t="shared" ref="DB341:DC341" si="1519">DB294+DB332+DB337</f>
        <v>200.681</v>
      </c>
      <c r="DC341" s="296">
        <f t="shared" si="1519"/>
        <v>234.555</v>
      </c>
      <c r="DD341" s="134">
        <f t="shared" ref="DD341:DF341" si="1520">DD294+DD332+DD337</f>
        <v>816.957</v>
      </c>
      <c r="DE341" s="133">
        <f t="shared" si="1520"/>
        <v>199.661</v>
      </c>
      <c r="DF341" s="133">
        <f t="shared" si="1520"/>
        <v>204.074</v>
      </c>
      <c r="DG341" s="133"/>
      <c r="DH341" s="133"/>
      <c r="DI341" s="134"/>
      <c r="DJ341" s="133"/>
      <c r="DK341" s="133"/>
      <c r="DL341" s="133"/>
      <c r="DM341" s="133"/>
      <c r="DN341" s="134"/>
      <c r="DO341" s="133"/>
      <c r="DP341" s="133"/>
      <c r="DQ341" s="133"/>
      <c r="DR341" s="133"/>
      <c r="DS341" s="134"/>
    </row>
    <row r="342" s="3" customFormat="1" spans="2:123">
      <c r="B342" s="144" t="s">
        <v>370</v>
      </c>
      <c r="C342" s="284"/>
      <c r="D342" s="189"/>
      <c r="E342" s="189"/>
      <c r="F342" s="189"/>
      <c r="G342" s="189"/>
      <c r="H342" s="188"/>
      <c r="I342" s="189"/>
      <c r="J342" s="189"/>
      <c r="K342" s="189"/>
      <c r="L342" s="189"/>
      <c r="M342" s="188"/>
      <c r="N342" s="189"/>
      <c r="O342" s="189"/>
      <c r="P342" s="189"/>
      <c r="Q342" s="189"/>
      <c r="R342" s="188"/>
      <c r="S342" s="189"/>
      <c r="T342" s="189"/>
      <c r="U342" s="189"/>
      <c r="V342" s="189"/>
      <c r="W342" s="188"/>
      <c r="X342" s="189"/>
      <c r="Y342" s="189"/>
      <c r="Z342" s="195"/>
      <c r="AA342" s="195"/>
      <c r="AB342" s="188"/>
      <c r="AC342" s="195"/>
      <c r="AD342" s="195"/>
      <c r="AE342" s="195"/>
      <c r="AF342" s="195"/>
      <c r="AG342" s="194"/>
      <c r="AH342" s="195"/>
      <c r="AI342" s="195"/>
      <c r="AJ342" s="195"/>
      <c r="AK342" s="195"/>
      <c r="AL342" s="194"/>
      <c r="AM342" s="195"/>
      <c r="AN342" s="195"/>
      <c r="AO342" s="195"/>
      <c r="AP342" s="195"/>
      <c r="AQ342" s="194"/>
      <c r="AR342" s="195"/>
      <c r="AS342" s="195"/>
      <c r="AT342" s="195"/>
      <c r="AU342" s="195"/>
      <c r="AV342" s="194"/>
      <c r="AW342" s="195"/>
      <c r="AX342" s="195"/>
      <c r="AY342" s="195"/>
      <c r="AZ342" s="195"/>
      <c r="BA342" s="194"/>
      <c r="BB342" s="195"/>
      <c r="BC342" s="195"/>
      <c r="BD342" s="195"/>
      <c r="BE342" s="195"/>
      <c r="BF342" s="194"/>
      <c r="BG342" s="195"/>
      <c r="BH342" s="195"/>
      <c r="BI342" s="195"/>
      <c r="BJ342" s="195"/>
      <c r="BK342" s="194"/>
      <c r="BL342" s="195"/>
      <c r="BM342" s="195"/>
      <c r="BN342" s="195"/>
      <c r="BO342" s="195"/>
      <c r="BP342" s="194"/>
      <c r="BQ342" s="195"/>
      <c r="BR342" s="195"/>
      <c r="BS342" s="195"/>
      <c r="BT342" s="120"/>
      <c r="BU342" s="119"/>
      <c r="BV342" s="120"/>
      <c r="BW342" s="120"/>
      <c r="BX342" s="120"/>
      <c r="BY342" s="189"/>
      <c r="BZ342" s="188"/>
      <c r="CA342" s="189"/>
      <c r="CB342" s="189"/>
      <c r="CC342" s="189"/>
      <c r="CD342" s="189"/>
      <c r="CE342" s="188"/>
      <c r="CF342" s="189"/>
      <c r="CG342" s="189"/>
      <c r="CH342" s="189"/>
      <c r="CI342" s="189"/>
      <c r="CJ342" s="188"/>
      <c r="CK342" s="189"/>
      <c r="CL342" s="189"/>
      <c r="CM342" s="189"/>
      <c r="CN342" s="189"/>
      <c r="CO342" s="140" t="s">
        <v>208</v>
      </c>
      <c r="CP342" s="239"/>
      <c r="CQ342" s="239"/>
      <c r="CR342" s="239"/>
      <c r="CS342" s="239"/>
      <c r="CT342" s="140">
        <f>CT341/CO341-1</f>
        <v>0.551022595907298</v>
      </c>
      <c r="CU342" s="291" t="s">
        <v>208</v>
      </c>
      <c r="CV342" s="291" t="s">
        <v>208</v>
      </c>
      <c r="CW342" s="291" t="s">
        <v>208</v>
      </c>
      <c r="CX342" s="291" t="s">
        <v>208</v>
      </c>
      <c r="CY342" s="140">
        <f t="shared" ref="CY342:DF342" si="1521">CY341/CT341-1</f>
        <v>0.337832057190144</v>
      </c>
      <c r="CZ342" s="291">
        <f t="shared" si="1521"/>
        <v>0.156368327689082</v>
      </c>
      <c r="DA342" s="291">
        <f t="shared" si="1521"/>
        <v>0.172259054457022</v>
      </c>
      <c r="DB342" s="291">
        <f t="shared" si="1521"/>
        <v>0.18079598008873</v>
      </c>
      <c r="DC342" s="310">
        <f t="shared" si="1521"/>
        <v>0.0734438713633891</v>
      </c>
      <c r="DD342" s="140">
        <f t="shared" si="1521"/>
        <v>0.140697104543341</v>
      </c>
      <c r="DE342" s="291">
        <f t="shared" si="1521"/>
        <v>0.113769482221949</v>
      </c>
      <c r="DF342" s="291">
        <f t="shared" si="1521"/>
        <v>0.00799683880368507</v>
      </c>
      <c r="DG342" s="291"/>
      <c r="DH342" s="291"/>
      <c r="DI342" s="140"/>
      <c r="DJ342" s="291"/>
      <c r="DK342" s="291"/>
      <c r="DL342" s="291"/>
      <c r="DM342" s="291"/>
      <c r="DN342" s="140"/>
      <c r="DO342" s="291"/>
      <c r="DP342" s="291"/>
      <c r="DQ342" s="291"/>
      <c r="DR342" s="291"/>
      <c r="DS342" s="140"/>
    </row>
    <row r="343" s="3" customFormat="1" spans="2:123">
      <c r="B343" s="144" t="s">
        <v>322</v>
      </c>
      <c r="C343" s="284"/>
      <c r="D343" s="189"/>
      <c r="E343" s="189"/>
      <c r="F343" s="189"/>
      <c r="G343" s="189"/>
      <c r="H343" s="188"/>
      <c r="I343" s="189"/>
      <c r="J343" s="189"/>
      <c r="K343" s="189"/>
      <c r="L343" s="189"/>
      <c r="M343" s="188"/>
      <c r="N343" s="189"/>
      <c r="O343" s="189"/>
      <c r="P343" s="189"/>
      <c r="Q343" s="189"/>
      <c r="R343" s="188"/>
      <c r="S343" s="189"/>
      <c r="T343" s="189"/>
      <c r="U343" s="189"/>
      <c r="V343" s="189"/>
      <c r="W343" s="188"/>
      <c r="X343" s="189"/>
      <c r="Y343" s="189"/>
      <c r="Z343" s="195"/>
      <c r="AA343" s="195"/>
      <c r="AB343" s="188"/>
      <c r="AC343" s="195"/>
      <c r="AD343" s="195"/>
      <c r="AE343" s="195"/>
      <c r="AF343" s="195"/>
      <c r="AG343" s="194"/>
      <c r="AH343" s="195"/>
      <c r="AI343" s="195"/>
      <c r="AJ343" s="195"/>
      <c r="AK343" s="195"/>
      <c r="AL343" s="194"/>
      <c r="AM343" s="195"/>
      <c r="AN343" s="195"/>
      <c r="AO343" s="195"/>
      <c r="AP343" s="195"/>
      <c r="AQ343" s="194"/>
      <c r="AR343" s="195"/>
      <c r="AS343" s="195"/>
      <c r="AT343" s="195"/>
      <c r="AU343" s="195"/>
      <c r="AV343" s="194"/>
      <c r="AW343" s="195"/>
      <c r="AX343" s="195"/>
      <c r="AY343" s="195"/>
      <c r="AZ343" s="195"/>
      <c r="BA343" s="194"/>
      <c r="BB343" s="195"/>
      <c r="BC343" s="195"/>
      <c r="BD343" s="195"/>
      <c r="BE343" s="195"/>
      <c r="BF343" s="194"/>
      <c r="BG343" s="195"/>
      <c r="BH343" s="195"/>
      <c r="BI343" s="195"/>
      <c r="BJ343" s="195"/>
      <c r="BK343" s="194"/>
      <c r="BL343" s="195"/>
      <c r="BM343" s="195"/>
      <c r="BN343" s="195"/>
      <c r="BO343" s="195"/>
      <c r="BP343" s="194"/>
      <c r="BQ343" s="195"/>
      <c r="BR343" s="195"/>
      <c r="BS343" s="195"/>
      <c r="BT343" s="120"/>
      <c r="BU343" s="119"/>
      <c r="BV343" s="120"/>
      <c r="BW343" s="120"/>
      <c r="BX343" s="120"/>
      <c r="BY343" s="189"/>
      <c r="BZ343" s="188"/>
      <c r="CA343" s="189"/>
      <c r="CB343" s="189"/>
      <c r="CC343" s="189"/>
      <c r="CD343" s="189"/>
      <c r="CE343" s="188"/>
      <c r="CF343" s="189"/>
      <c r="CG343" s="189"/>
      <c r="CH343" s="189"/>
      <c r="CI343" s="189"/>
      <c r="CJ343" s="188"/>
      <c r="CK343" s="189"/>
      <c r="CL343" s="189"/>
      <c r="CM343" s="189"/>
      <c r="CN343" s="189"/>
      <c r="CO343" s="140">
        <f>CO341/CO294</f>
        <v>0.481677065874364</v>
      </c>
      <c r="CP343" s="239"/>
      <c r="CQ343" s="239"/>
      <c r="CR343" s="239"/>
      <c r="CS343" s="239"/>
      <c r="CT343" s="140">
        <f t="shared" ref="CT343:CX343" si="1522">CT341/CT294</f>
        <v>0.522855906652303</v>
      </c>
      <c r="CU343" s="291">
        <f t="shared" si="1522"/>
        <v>0.548099462242037</v>
      </c>
      <c r="CV343" s="291">
        <f t="shared" si="1522"/>
        <v>0.547477302698316</v>
      </c>
      <c r="CW343" s="291">
        <f t="shared" si="1522"/>
        <v>0.551906215496525</v>
      </c>
      <c r="CX343" s="291">
        <f t="shared" si="1522"/>
        <v>0.556853280869326</v>
      </c>
      <c r="CY343" s="140">
        <f t="shared" ref="CY343:CZ343" si="1523">CY341/CY294</f>
        <v>0.551496073178488</v>
      </c>
      <c r="CZ343" s="291">
        <f t="shared" si="1523"/>
        <v>0.546541016643242</v>
      </c>
      <c r="DA343" s="291">
        <f t="shared" ref="DA343:DB343" si="1524">DA341/DA294</f>
        <v>0.54117304279024</v>
      </c>
      <c r="DB343" s="291">
        <f t="shared" si="1524"/>
        <v>0.5465526069242</v>
      </c>
      <c r="DC343" s="310">
        <f t="shared" ref="DC343" si="1525">DC341/DC294</f>
        <v>0.54361076861749</v>
      </c>
      <c r="DD343" s="140">
        <f t="shared" ref="DD343:DF343" si="1526">DD341/DD294</f>
        <v>0.544363277999037</v>
      </c>
      <c r="DE343" s="291">
        <f t="shared" si="1526"/>
        <v>0.536726003903247</v>
      </c>
      <c r="DF343" s="291">
        <f t="shared" si="1526"/>
        <v>0.520910548187174</v>
      </c>
      <c r="DG343" s="291"/>
      <c r="DH343" s="291"/>
      <c r="DI343" s="140"/>
      <c r="DJ343" s="291"/>
      <c r="DK343" s="291"/>
      <c r="DL343" s="291"/>
      <c r="DM343" s="291"/>
      <c r="DN343" s="140"/>
      <c r="DO343" s="291"/>
      <c r="DP343" s="291"/>
      <c r="DQ343" s="291"/>
      <c r="DR343" s="291"/>
      <c r="DS343" s="140"/>
    </row>
    <row r="344" s="3" customFormat="1" spans="2:123">
      <c r="B344" s="144" t="s">
        <v>379</v>
      </c>
      <c r="C344" s="284"/>
      <c r="D344" s="189"/>
      <c r="E344" s="189"/>
      <c r="F344" s="189"/>
      <c r="G344" s="189"/>
      <c r="H344" s="188"/>
      <c r="I344" s="189"/>
      <c r="J344" s="189"/>
      <c r="K344" s="189"/>
      <c r="L344" s="189"/>
      <c r="M344" s="188"/>
      <c r="N344" s="189"/>
      <c r="O344" s="189"/>
      <c r="P344" s="189"/>
      <c r="Q344" s="189"/>
      <c r="R344" s="188"/>
      <c r="S344" s="189"/>
      <c r="T344" s="189"/>
      <c r="U344" s="189"/>
      <c r="V344" s="189"/>
      <c r="W344" s="188"/>
      <c r="X344" s="189"/>
      <c r="Y344" s="189"/>
      <c r="Z344" s="195"/>
      <c r="AA344" s="195"/>
      <c r="AB344" s="188"/>
      <c r="AC344" s="195"/>
      <c r="AD344" s="195"/>
      <c r="AE344" s="195"/>
      <c r="AF344" s="195"/>
      <c r="AG344" s="194"/>
      <c r="AH344" s="195"/>
      <c r="AI344" s="195"/>
      <c r="AJ344" s="195"/>
      <c r="AK344" s="195"/>
      <c r="AL344" s="194"/>
      <c r="AM344" s="195"/>
      <c r="AN344" s="195"/>
      <c r="AO344" s="195"/>
      <c r="AP344" s="195"/>
      <c r="AQ344" s="194"/>
      <c r="AR344" s="195"/>
      <c r="AS344" s="195"/>
      <c r="AT344" s="195"/>
      <c r="AU344" s="195"/>
      <c r="AV344" s="194"/>
      <c r="AW344" s="195"/>
      <c r="AX344" s="195"/>
      <c r="AY344" s="195"/>
      <c r="AZ344" s="195"/>
      <c r="BA344" s="194"/>
      <c r="BB344" s="195"/>
      <c r="BC344" s="195"/>
      <c r="BD344" s="195"/>
      <c r="BE344" s="195"/>
      <c r="BF344" s="194"/>
      <c r="BG344" s="195"/>
      <c r="BH344" s="195"/>
      <c r="BI344" s="195"/>
      <c r="BJ344" s="195"/>
      <c r="BK344" s="194"/>
      <c r="BL344" s="195"/>
      <c r="BM344" s="195"/>
      <c r="BN344" s="195"/>
      <c r="BO344" s="195"/>
      <c r="BP344" s="194"/>
      <c r="BQ344" s="195"/>
      <c r="BR344" s="195"/>
      <c r="BS344" s="195"/>
      <c r="BT344" s="120"/>
      <c r="BU344" s="119"/>
      <c r="BV344" s="120"/>
      <c r="BW344" s="120"/>
      <c r="BX344" s="120"/>
      <c r="BY344" s="189"/>
      <c r="BZ344" s="188"/>
      <c r="CA344" s="189"/>
      <c r="CB344" s="189"/>
      <c r="CC344" s="189"/>
      <c r="CD344" s="189"/>
      <c r="CE344" s="188"/>
      <c r="CF344" s="189"/>
      <c r="CG344" s="189"/>
      <c r="CH344" s="189"/>
      <c r="CI344" s="189"/>
      <c r="CJ344" s="188"/>
      <c r="CK344" s="189"/>
      <c r="CL344" s="189"/>
      <c r="CM344" s="189"/>
      <c r="CN344" s="189"/>
      <c r="CO344" s="329" t="s">
        <v>208</v>
      </c>
      <c r="CP344" s="239"/>
      <c r="CQ344" s="239"/>
      <c r="CR344" s="239"/>
      <c r="CS344" s="239"/>
      <c r="CT344" s="329">
        <f>(CT343-CO343)*100*100</f>
        <v>411.78840777939</v>
      </c>
      <c r="CU344" s="330" t="s">
        <v>208</v>
      </c>
      <c r="CV344" s="330" t="s">
        <v>208</v>
      </c>
      <c r="CW344" s="330" t="s">
        <v>208</v>
      </c>
      <c r="CX344" s="330" t="s">
        <v>208</v>
      </c>
      <c r="CY344" s="329">
        <f t="shared" ref="CY344:DF344" si="1527">(CY343-CT343)*100*100</f>
        <v>286.401665261856</v>
      </c>
      <c r="CZ344" s="330">
        <f t="shared" si="1527"/>
        <v>-15.5844559879526</v>
      </c>
      <c r="DA344" s="330">
        <f t="shared" si="1527"/>
        <v>-63.0425990807593</v>
      </c>
      <c r="DB344" s="330">
        <f t="shared" si="1527"/>
        <v>-53.5360857232547</v>
      </c>
      <c r="DC344" s="333">
        <f t="shared" si="1527"/>
        <v>-132.42512251836</v>
      </c>
      <c r="DD344" s="329">
        <f t="shared" si="1527"/>
        <v>-71.3279517945187</v>
      </c>
      <c r="DE344" s="330">
        <f t="shared" si="1527"/>
        <v>-98.1501273999519</v>
      </c>
      <c r="DF344" s="330">
        <f t="shared" si="1527"/>
        <v>-202.624946030662</v>
      </c>
      <c r="DG344" s="330"/>
      <c r="DH344" s="330"/>
      <c r="DI344" s="329"/>
      <c r="DJ344" s="330"/>
      <c r="DK344" s="330"/>
      <c r="DL344" s="330"/>
      <c r="DM344" s="330"/>
      <c r="DN344" s="329"/>
      <c r="DO344" s="330"/>
      <c r="DP344" s="330"/>
      <c r="DQ344" s="330"/>
      <c r="DR344" s="330"/>
      <c r="DS344" s="329"/>
    </row>
    <row r="345" s="3" customFormat="1" spans="2:123">
      <c r="B345" s="144"/>
      <c r="C345" s="284"/>
      <c r="D345" s="189"/>
      <c r="E345" s="189"/>
      <c r="F345" s="189"/>
      <c r="G345" s="189"/>
      <c r="H345" s="188"/>
      <c r="I345" s="189"/>
      <c r="J345" s="189"/>
      <c r="K345" s="189"/>
      <c r="L345" s="189"/>
      <c r="M345" s="188"/>
      <c r="N345" s="189"/>
      <c r="O345" s="189"/>
      <c r="P345" s="189"/>
      <c r="Q345" s="189"/>
      <c r="R345" s="188"/>
      <c r="S345" s="189"/>
      <c r="T345" s="189"/>
      <c r="U345" s="189"/>
      <c r="V345" s="189"/>
      <c r="W345" s="188"/>
      <c r="X345" s="189"/>
      <c r="Y345" s="189"/>
      <c r="Z345" s="195"/>
      <c r="AA345" s="195"/>
      <c r="AB345" s="188"/>
      <c r="AC345" s="195"/>
      <c r="AD345" s="195"/>
      <c r="AE345" s="195"/>
      <c r="AF345" s="195"/>
      <c r="AG345" s="194"/>
      <c r="AH345" s="195"/>
      <c r="AI345" s="195"/>
      <c r="AJ345" s="195"/>
      <c r="AK345" s="195"/>
      <c r="AL345" s="194"/>
      <c r="AM345" s="195"/>
      <c r="AN345" s="195"/>
      <c r="AO345" s="195"/>
      <c r="AP345" s="195"/>
      <c r="AQ345" s="194"/>
      <c r="AR345" s="195"/>
      <c r="AS345" s="195"/>
      <c r="AT345" s="195"/>
      <c r="AU345" s="195"/>
      <c r="AV345" s="194"/>
      <c r="AW345" s="195"/>
      <c r="AX345" s="195"/>
      <c r="AY345" s="195"/>
      <c r="AZ345" s="195"/>
      <c r="BA345" s="194"/>
      <c r="BB345" s="195"/>
      <c r="BC345" s="195"/>
      <c r="BD345" s="195"/>
      <c r="BE345" s="195"/>
      <c r="BF345" s="194"/>
      <c r="BG345" s="195"/>
      <c r="BH345" s="195"/>
      <c r="BI345" s="195"/>
      <c r="BJ345" s="195"/>
      <c r="BK345" s="194"/>
      <c r="BL345" s="195"/>
      <c r="BM345" s="195"/>
      <c r="BN345" s="195"/>
      <c r="BO345" s="195"/>
      <c r="BP345" s="194"/>
      <c r="BQ345" s="195"/>
      <c r="BR345" s="195"/>
      <c r="BS345" s="195"/>
      <c r="BT345" s="120"/>
      <c r="BU345" s="119"/>
      <c r="BV345" s="120"/>
      <c r="BW345" s="120"/>
      <c r="BX345" s="120"/>
      <c r="BY345" s="189"/>
      <c r="BZ345" s="188"/>
      <c r="CA345" s="189"/>
      <c r="CB345" s="189"/>
      <c r="CC345" s="189"/>
      <c r="CD345" s="189"/>
      <c r="CE345" s="188"/>
      <c r="CF345" s="189"/>
      <c r="CG345" s="189"/>
      <c r="CH345" s="189"/>
      <c r="CI345" s="189"/>
      <c r="CJ345" s="188"/>
      <c r="CK345" s="189"/>
      <c r="CL345" s="189"/>
      <c r="CM345" s="189"/>
      <c r="CN345" s="189"/>
      <c r="CO345" s="238"/>
      <c r="CP345" s="239"/>
      <c r="CQ345" s="239"/>
      <c r="CR345" s="239"/>
      <c r="CS345" s="239"/>
      <c r="CT345" s="238"/>
      <c r="CU345" s="371"/>
      <c r="CV345" s="371"/>
      <c r="CW345" s="371"/>
      <c r="CX345" s="371"/>
      <c r="CY345" s="361"/>
      <c r="CZ345" s="330"/>
      <c r="DA345" s="330"/>
      <c r="DB345" s="330"/>
      <c r="DC345" s="333"/>
      <c r="DD345" s="238"/>
      <c r="DE345" s="330"/>
      <c r="DF345" s="239"/>
      <c r="DG345" s="239"/>
      <c r="DH345" s="239"/>
      <c r="DI345" s="238"/>
      <c r="DJ345" s="239"/>
      <c r="DK345" s="239"/>
      <c r="DL345" s="239"/>
      <c r="DM345" s="239"/>
      <c r="DN345" s="238"/>
      <c r="DO345" s="239"/>
      <c r="DP345" s="239"/>
      <c r="DQ345" s="239"/>
      <c r="DR345" s="239"/>
      <c r="DS345" s="238"/>
    </row>
    <row r="346" s="3" customFormat="1" hidden="1" outlineLevel="1" spans="2:123">
      <c r="B346" s="33" t="s">
        <v>323</v>
      </c>
      <c r="C346" s="284"/>
      <c r="D346" s="189"/>
      <c r="E346" s="189"/>
      <c r="F346" s="189"/>
      <c r="G346" s="189"/>
      <c r="H346" s="188"/>
      <c r="I346" s="189"/>
      <c r="J346" s="189"/>
      <c r="K346" s="189"/>
      <c r="L346" s="189"/>
      <c r="M346" s="188"/>
      <c r="N346" s="189"/>
      <c r="O346" s="189"/>
      <c r="P346" s="189"/>
      <c r="Q346" s="189"/>
      <c r="R346" s="188"/>
      <c r="S346" s="189"/>
      <c r="T346" s="189"/>
      <c r="U346" s="189"/>
      <c r="V346" s="189"/>
      <c r="W346" s="188"/>
      <c r="X346" s="189"/>
      <c r="Y346" s="189"/>
      <c r="Z346" s="195"/>
      <c r="AA346" s="195"/>
      <c r="AB346" s="188"/>
      <c r="AC346" s="195"/>
      <c r="AD346" s="195"/>
      <c r="AE346" s="195"/>
      <c r="AF346" s="195"/>
      <c r="AG346" s="194"/>
      <c r="AH346" s="195"/>
      <c r="AI346" s="195"/>
      <c r="AJ346" s="195"/>
      <c r="AK346" s="195"/>
      <c r="AL346" s="194"/>
      <c r="AM346" s="195"/>
      <c r="AN346" s="195"/>
      <c r="AO346" s="195"/>
      <c r="AP346" s="195"/>
      <c r="AQ346" s="194"/>
      <c r="AR346" s="195"/>
      <c r="AS346" s="195"/>
      <c r="AT346" s="195"/>
      <c r="AU346" s="195"/>
      <c r="AV346" s="194"/>
      <c r="AW346" s="195"/>
      <c r="AX346" s="195"/>
      <c r="AY346" s="195"/>
      <c r="AZ346" s="195"/>
      <c r="BA346" s="194"/>
      <c r="BB346" s="195"/>
      <c r="BC346" s="195"/>
      <c r="BD346" s="195"/>
      <c r="BE346" s="195"/>
      <c r="BF346" s="194"/>
      <c r="BG346" s="195"/>
      <c r="BH346" s="195"/>
      <c r="BI346" s="195"/>
      <c r="BJ346" s="195"/>
      <c r="BK346" s="194"/>
      <c r="BL346" s="195"/>
      <c r="BM346" s="195"/>
      <c r="BN346" s="195"/>
      <c r="BO346" s="195"/>
      <c r="BP346" s="194"/>
      <c r="BQ346" s="195"/>
      <c r="BR346" s="195"/>
      <c r="BS346" s="195"/>
      <c r="BT346" s="120"/>
      <c r="BU346" s="119"/>
      <c r="BV346" s="120"/>
      <c r="BW346" s="120"/>
      <c r="BX346" s="120"/>
      <c r="BY346" s="189"/>
      <c r="BZ346" s="188"/>
      <c r="CA346" s="189"/>
      <c r="CB346" s="189"/>
      <c r="CC346" s="189"/>
      <c r="CD346" s="189"/>
      <c r="CE346" s="188"/>
      <c r="CF346" s="189"/>
      <c r="CG346" s="189"/>
      <c r="CH346" s="189"/>
      <c r="CI346" s="189"/>
      <c r="CJ346" s="188"/>
      <c r="CK346" s="189"/>
      <c r="CL346" s="189"/>
      <c r="CM346" s="189"/>
      <c r="CN346" s="189"/>
      <c r="CO346" s="127">
        <f>CO351-CO341</f>
        <v>-241.947</v>
      </c>
      <c r="CP346" s="239"/>
      <c r="CQ346" s="239"/>
      <c r="CR346" s="239"/>
      <c r="CS346" s="239"/>
      <c r="CT346" s="127">
        <f t="shared" ref="CT346:DB346" si="1528">CT351-CT341</f>
        <v>-333.505</v>
      </c>
      <c r="CU346" s="126">
        <f t="shared" si="1528"/>
        <v>-88.344</v>
      </c>
      <c r="CV346" s="126">
        <f t="shared" si="1528"/>
        <v>-98.705</v>
      </c>
      <c r="CW346" s="126">
        <f t="shared" si="1528"/>
        <v>-101.192</v>
      </c>
      <c r="CX346" s="126">
        <f t="shared" si="1528"/>
        <v>-113.004</v>
      </c>
      <c r="CY346" s="127">
        <f t="shared" si="1528"/>
        <v>-401.245</v>
      </c>
      <c r="CZ346" s="126">
        <f t="shared" si="1528"/>
        <v>-106.41</v>
      </c>
      <c r="DA346" s="126">
        <f t="shared" si="1528"/>
        <v>-121.212</v>
      </c>
      <c r="DB346" s="126">
        <f t="shared" si="1528"/>
        <v>-115.724</v>
      </c>
      <c r="DC346" s="372">
        <f t="shared" ref="DC346" si="1529">DC351-DC341</f>
        <v>-127.71</v>
      </c>
      <c r="DD346" s="127">
        <f>CZ346+DA346+DB346+DC346</f>
        <v>-471.056</v>
      </c>
      <c r="DE346" s="126">
        <f t="shared" ref="DE346:DF346" si="1530">DE351-DE341</f>
        <v>-130.238</v>
      </c>
      <c r="DF346" s="126">
        <f t="shared" si="1530"/>
        <v>-129.101</v>
      </c>
      <c r="DG346" s="126"/>
      <c r="DH346" s="126"/>
      <c r="DI346" s="127"/>
      <c r="DJ346" s="126"/>
      <c r="DK346" s="126"/>
      <c r="DL346" s="126"/>
      <c r="DM346" s="126"/>
      <c r="DN346" s="127"/>
      <c r="DO346" s="126"/>
      <c r="DP346" s="126"/>
      <c r="DQ346" s="126"/>
      <c r="DR346" s="126"/>
      <c r="DS346" s="127"/>
    </row>
    <row r="347" s="3" customFormat="1" hidden="1" outlineLevel="1" spans="2:123">
      <c r="B347" s="144" t="s">
        <v>370</v>
      </c>
      <c r="C347" s="284"/>
      <c r="D347" s="189"/>
      <c r="E347" s="189"/>
      <c r="F347" s="189"/>
      <c r="G347" s="189"/>
      <c r="H347" s="188"/>
      <c r="I347" s="189"/>
      <c r="J347" s="189"/>
      <c r="K347" s="189"/>
      <c r="L347" s="189"/>
      <c r="M347" s="188"/>
      <c r="N347" s="189"/>
      <c r="O347" s="189"/>
      <c r="P347" s="189"/>
      <c r="Q347" s="189"/>
      <c r="R347" s="188"/>
      <c r="S347" s="189"/>
      <c r="T347" s="189"/>
      <c r="U347" s="189"/>
      <c r="V347" s="189"/>
      <c r="W347" s="188"/>
      <c r="X347" s="189"/>
      <c r="Y347" s="189"/>
      <c r="Z347" s="195"/>
      <c r="AA347" s="195"/>
      <c r="AB347" s="188"/>
      <c r="AC347" s="195"/>
      <c r="AD347" s="195"/>
      <c r="AE347" s="195"/>
      <c r="AF347" s="195"/>
      <c r="AG347" s="194"/>
      <c r="AH347" s="195"/>
      <c r="AI347" s="195"/>
      <c r="AJ347" s="195"/>
      <c r="AK347" s="195"/>
      <c r="AL347" s="194"/>
      <c r="AM347" s="195"/>
      <c r="AN347" s="195"/>
      <c r="AO347" s="195"/>
      <c r="AP347" s="195"/>
      <c r="AQ347" s="194"/>
      <c r="AR347" s="195"/>
      <c r="AS347" s="195"/>
      <c r="AT347" s="195"/>
      <c r="AU347" s="195"/>
      <c r="AV347" s="194"/>
      <c r="AW347" s="195"/>
      <c r="AX347" s="195"/>
      <c r="AY347" s="195"/>
      <c r="AZ347" s="195"/>
      <c r="BA347" s="194"/>
      <c r="BB347" s="195"/>
      <c r="BC347" s="195"/>
      <c r="BD347" s="195"/>
      <c r="BE347" s="195"/>
      <c r="BF347" s="194"/>
      <c r="BG347" s="195"/>
      <c r="BH347" s="195"/>
      <c r="BI347" s="195"/>
      <c r="BJ347" s="195"/>
      <c r="BK347" s="194"/>
      <c r="BL347" s="195"/>
      <c r="BM347" s="195"/>
      <c r="BN347" s="195"/>
      <c r="BO347" s="195"/>
      <c r="BP347" s="194"/>
      <c r="BQ347" s="195"/>
      <c r="BR347" s="195"/>
      <c r="BS347" s="195"/>
      <c r="BT347" s="120"/>
      <c r="BU347" s="119"/>
      <c r="BV347" s="120"/>
      <c r="BW347" s="120"/>
      <c r="BX347" s="120"/>
      <c r="BY347" s="189"/>
      <c r="BZ347" s="188"/>
      <c r="CA347" s="189"/>
      <c r="CB347" s="189"/>
      <c r="CC347" s="189"/>
      <c r="CD347" s="189"/>
      <c r="CE347" s="188"/>
      <c r="CF347" s="189"/>
      <c r="CG347" s="189"/>
      <c r="CH347" s="189"/>
      <c r="CI347" s="189"/>
      <c r="CJ347" s="188"/>
      <c r="CK347" s="189"/>
      <c r="CL347" s="189"/>
      <c r="CM347" s="189"/>
      <c r="CN347" s="189"/>
      <c r="CO347" s="749" t="s">
        <v>208</v>
      </c>
      <c r="CP347" s="239"/>
      <c r="CQ347" s="239"/>
      <c r="CR347" s="239"/>
      <c r="CS347" s="239"/>
      <c r="CT347" s="140">
        <f>CT346/CO346-1</f>
        <v>0.378421720459439</v>
      </c>
      <c r="CU347" s="291" t="s">
        <v>208</v>
      </c>
      <c r="CV347" s="291" t="s">
        <v>208</v>
      </c>
      <c r="CW347" s="291" t="s">
        <v>208</v>
      </c>
      <c r="CX347" s="291" t="s">
        <v>208</v>
      </c>
      <c r="CY347" s="140">
        <f t="shared" ref="CY347:DF347" si="1531">CY346/CT346-1</f>
        <v>0.203115395571281</v>
      </c>
      <c r="CZ347" s="291">
        <f t="shared" si="1531"/>
        <v>0.204496060853029</v>
      </c>
      <c r="DA347" s="291">
        <f t="shared" si="1531"/>
        <v>0.228022896509802</v>
      </c>
      <c r="DB347" s="291">
        <f t="shared" si="1531"/>
        <v>0.14360819037078</v>
      </c>
      <c r="DC347" s="310">
        <f t="shared" si="1531"/>
        <v>0.130136986301371</v>
      </c>
      <c r="DD347" s="140">
        <f t="shared" si="1531"/>
        <v>0.173985968672507</v>
      </c>
      <c r="DE347" s="291">
        <f t="shared" si="1531"/>
        <v>0.22392632271403</v>
      </c>
      <c r="DF347" s="291">
        <f t="shared" si="1531"/>
        <v>0.0650843150843157</v>
      </c>
      <c r="DG347" s="291"/>
      <c r="DH347" s="291"/>
      <c r="DI347" s="140"/>
      <c r="DJ347" s="291"/>
      <c r="DK347" s="291"/>
      <c r="DL347" s="291"/>
      <c r="DM347" s="291"/>
      <c r="DN347" s="140"/>
      <c r="DO347" s="291"/>
      <c r="DP347" s="291"/>
      <c r="DQ347" s="291"/>
      <c r="DR347" s="291"/>
      <c r="DS347" s="140"/>
    </row>
    <row r="348" s="3" customFormat="1" hidden="1" outlineLevel="1" spans="2:123">
      <c r="B348" s="144" t="s">
        <v>396</v>
      </c>
      <c r="C348" s="284"/>
      <c r="D348" s="189"/>
      <c r="E348" s="189"/>
      <c r="F348" s="189"/>
      <c r="G348" s="189"/>
      <c r="H348" s="188"/>
      <c r="I348" s="189"/>
      <c r="J348" s="189"/>
      <c r="K348" s="189"/>
      <c r="L348" s="189"/>
      <c r="M348" s="188"/>
      <c r="N348" s="189"/>
      <c r="O348" s="189"/>
      <c r="P348" s="189"/>
      <c r="Q348" s="189"/>
      <c r="R348" s="188"/>
      <c r="S348" s="189"/>
      <c r="T348" s="189"/>
      <c r="U348" s="189"/>
      <c r="V348" s="189"/>
      <c r="W348" s="188"/>
      <c r="X348" s="189"/>
      <c r="Y348" s="189"/>
      <c r="Z348" s="195"/>
      <c r="AA348" s="195"/>
      <c r="AB348" s="188"/>
      <c r="AC348" s="195"/>
      <c r="AD348" s="195"/>
      <c r="AE348" s="195"/>
      <c r="AF348" s="195"/>
      <c r="AG348" s="194"/>
      <c r="AH348" s="195"/>
      <c r="AI348" s="195"/>
      <c r="AJ348" s="195"/>
      <c r="AK348" s="195"/>
      <c r="AL348" s="194"/>
      <c r="AM348" s="195"/>
      <c r="AN348" s="195"/>
      <c r="AO348" s="195"/>
      <c r="AP348" s="195"/>
      <c r="AQ348" s="194"/>
      <c r="AR348" s="195"/>
      <c r="AS348" s="195"/>
      <c r="AT348" s="195"/>
      <c r="AU348" s="195"/>
      <c r="AV348" s="194"/>
      <c r="AW348" s="195"/>
      <c r="AX348" s="195"/>
      <c r="AY348" s="195"/>
      <c r="AZ348" s="195"/>
      <c r="BA348" s="194"/>
      <c r="BB348" s="195"/>
      <c r="BC348" s="195"/>
      <c r="BD348" s="195"/>
      <c r="BE348" s="195"/>
      <c r="BF348" s="194"/>
      <c r="BG348" s="195"/>
      <c r="BH348" s="195"/>
      <c r="BI348" s="195"/>
      <c r="BJ348" s="195"/>
      <c r="BK348" s="194"/>
      <c r="BL348" s="195"/>
      <c r="BM348" s="195"/>
      <c r="BN348" s="195"/>
      <c r="BO348" s="195"/>
      <c r="BP348" s="194"/>
      <c r="BQ348" s="195"/>
      <c r="BR348" s="195"/>
      <c r="BS348" s="195"/>
      <c r="BT348" s="120"/>
      <c r="BU348" s="119"/>
      <c r="BV348" s="120"/>
      <c r="BW348" s="120"/>
      <c r="BX348" s="120"/>
      <c r="BY348" s="189"/>
      <c r="BZ348" s="188"/>
      <c r="CA348" s="189"/>
      <c r="CB348" s="189"/>
      <c r="CC348" s="189"/>
      <c r="CD348" s="189"/>
      <c r="CE348" s="188"/>
      <c r="CF348" s="189"/>
      <c r="CG348" s="189"/>
      <c r="CH348" s="189"/>
      <c r="CI348" s="189"/>
      <c r="CJ348" s="188"/>
      <c r="CK348" s="189"/>
      <c r="CL348" s="189"/>
      <c r="CM348" s="189"/>
      <c r="CN348" s="189"/>
      <c r="CO348" s="140">
        <f>-CO346/CO294</f>
        <v>0.337650248897163</v>
      </c>
      <c r="CP348" s="239"/>
      <c r="CQ348" s="239"/>
      <c r="CR348" s="239"/>
      <c r="CS348" s="239"/>
      <c r="CT348" s="140">
        <f t="shared" ref="CT348:CX348" si="1532">-CT346/CT294</f>
        <v>0.325729510846581</v>
      </c>
      <c r="CU348" s="291">
        <f t="shared" si="1532"/>
        <v>0.312345098482893</v>
      </c>
      <c r="CV348" s="291">
        <f t="shared" si="1532"/>
        <v>0.312896251775208</v>
      </c>
      <c r="CW348" s="291">
        <f t="shared" si="1532"/>
        <v>0.328609469377151</v>
      </c>
      <c r="CX348" s="291">
        <f t="shared" si="1532"/>
        <v>0.287984586998848</v>
      </c>
      <c r="CY348" s="140">
        <f t="shared" ref="CY348:CZ348" si="1533">-CY346/CY294</f>
        <v>0.308974898989938</v>
      </c>
      <c r="CZ348" s="291">
        <f t="shared" si="1533"/>
        <v>0.324419742622736</v>
      </c>
      <c r="DA348" s="291">
        <f t="shared" ref="DA348:DB348" si="1534">-DA346/DA294</f>
        <v>0.324006158715224</v>
      </c>
      <c r="DB348" s="291">
        <f t="shared" si="1534"/>
        <v>0.315173104995969</v>
      </c>
      <c r="DC348" s="310">
        <f t="shared" ref="DC348" si="1535">-DC346/DC294</f>
        <v>0.29598401765104</v>
      </c>
      <c r="DD348" s="140">
        <f t="shared" ref="DD348:DF348" si="1536">-DD346/DD294</f>
        <v>0.313878929100447</v>
      </c>
      <c r="DE348" s="291">
        <f t="shared" si="1536"/>
        <v>0.350104032817381</v>
      </c>
      <c r="DF348" s="291">
        <f t="shared" si="1536"/>
        <v>0.329537680848674</v>
      </c>
      <c r="DG348" s="291"/>
      <c r="DH348" s="291"/>
      <c r="DI348" s="140"/>
      <c r="DJ348" s="291"/>
      <c r="DK348" s="291"/>
      <c r="DL348" s="291"/>
      <c r="DM348" s="291"/>
      <c r="DN348" s="140"/>
      <c r="DO348" s="291"/>
      <c r="DP348" s="291"/>
      <c r="DQ348" s="291"/>
      <c r="DR348" s="291"/>
      <c r="DS348" s="140"/>
    </row>
    <row r="349" s="3" customFormat="1" hidden="1" outlineLevel="1" spans="2:123">
      <c r="B349" s="144" t="s">
        <v>379</v>
      </c>
      <c r="C349" s="284"/>
      <c r="D349" s="189"/>
      <c r="E349" s="189"/>
      <c r="F349" s="189"/>
      <c r="G349" s="189"/>
      <c r="H349" s="188"/>
      <c r="I349" s="189"/>
      <c r="J349" s="189"/>
      <c r="K349" s="189"/>
      <c r="L349" s="189"/>
      <c r="M349" s="188"/>
      <c r="N349" s="189"/>
      <c r="O349" s="189"/>
      <c r="P349" s="189"/>
      <c r="Q349" s="189"/>
      <c r="R349" s="188"/>
      <c r="S349" s="189"/>
      <c r="T349" s="189"/>
      <c r="U349" s="189"/>
      <c r="V349" s="189"/>
      <c r="W349" s="188"/>
      <c r="X349" s="189"/>
      <c r="Y349" s="189"/>
      <c r="Z349" s="195"/>
      <c r="AA349" s="195"/>
      <c r="AB349" s="188"/>
      <c r="AC349" s="195"/>
      <c r="AD349" s="195"/>
      <c r="AE349" s="195"/>
      <c r="AF349" s="195"/>
      <c r="AG349" s="194"/>
      <c r="AH349" s="195"/>
      <c r="AI349" s="195"/>
      <c r="AJ349" s="195"/>
      <c r="AK349" s="195"/>
      <c r="AL349" s="194"/>
      <c r="AM349" s="195"/>
      <c r="AN349" s="195"/>
      <c r="AO349" s="195"/>
      <c r="AP349" s="195"/>
      <c r="AQ349" s="194"/>
      <c r="AR349" s="195"/>
      <c r="AS349" s="195"/>
      <c r="AT349" s="195"/>
      <c r="AU349" s="195"/>
      <c r="AV349" s="194"/>
      <c r="AW349" s="195"/>
      <c r="AX349" s="195"/>
      <c r="AY349" s="195"/>
      <c r="AZ349" s="195"/>
      <c r="BA349" s="194"/>
      <c r="BB349" s="195"/>
      <c r="BC349" s="195"/>
      <c r="BD349" s="195"/>
      <c r="BE349" s="195"/>
      <c r="BF349" s="194"/>
      <c r="BG349" s="195"/>
      <c r="BH349" s="195"/>
      <c r="BI349" s="195"/>
      <c r="BJ349" s="195"/>
      <c r="BK349" s="194"/>
      <c r="BL349" s="195"/>
      <c r="BM349" s="195"/>
      <c r="BN349" s="195"/>
      <c r="BO349" s="195"/>
      <c r="BP349" s="194"/>
      <c r="BQ349" s="195"/>
      <c r="BR349" s="195"/>
      <c r="BS349" s="195"/>
      <c r="BT349" s="120"/>
      <c r="BU349" s="119"/>
      <c r="BV349" s="120"/>
      <c r="BW349" s="120"/>
      <c r="BX349" s="120"/>
      <c r="BY349" s="189"/>
      <c r="BZ349" s="188"/>
      <c r="CA349" s="189"/>
      <c r="CB349" s="189"/>
      <c r="CC349" s="189"/>
      <c r="CD349" s="189"/>
      <c r="CE349" s="188"/>
      <c r="CF349" s="189"/>
      <c r="CG349" s="189"/>
      <c r="CH349" s="189"/>
      <c r="CI349" s="189"/>
      <c r="CJ349" s="188"/>
      <c r="CK349" s="189"/>
      <c r="CL349" s="189"/>
      <c r="CM349" s="189"/>
      <c r="CN349" s="189"/>
      <c r="CO349" s="749" t="s">
        <v>208</v>
      </c>
      <c r="CP349" s="239"/>
      <c r="CQ349" s="239"/>
      <c r="CR349" s="239"/>
      <c r="CS349" s="239"/>
      <c r="CT349" s="329">
        <f>(CT348-CO348)*100*100</f>
        <v>-119.207380505818</v>
      </c>
      <c r="CU349" s="330" t="s">
        <v>208</v>
      </c>
      <c r="CV349" s="330" t="s">
        <v>208</v>
      </c>
      <c r="CW349" s="330" t="s">
        <v>208</v>
      </c>
      <c r="CX349" s="330" t="s">
        <v>208</v>
      </c>
      <c r="CY349" s="329">
        <f t="shared" ref="CY349:DF349" si="1537">(CY348-CT348)*100*100</f>
        <v>-167.546118566434</v>
      </c>
      <c r="CZ349" s="330">
        <f t="shared" si="1537"/>
        <v>120.746441398426</v>
      </c>
      <c r="DA349" s="330">
        <f t="shared" si="1537"/>
        <v>111.099069400156</v>
      </c>
      <c r="DB349" s="330">
        <f t="shared" si="1537"/>
        <v>-134.363643811822</v>
      </c>
      <c r="DC349" s="333">
        <f t="shared" si="1537"/>
        <v>79.9943065219183</v>
      </c>
      <c r="DD349" s="329">
        <f t="shared" si="1537"/>
        <v>49.0403011050949</v>
      </c>
      <c r="DE349" s="330">
        <f t="shared" si="1537"/>
        <v>256.842901946448</v>
      </c>
      <c r="DF349" s="330">
        <f t="shared" si="1537"/>
        <v>55.3152213345082</v>
      </c>
      <c r="DG349" s="330"/>
      <c r="DH349" s="330"/>
      <c r="DI349" s="329"/>
      <c r="DJ349" s="330"/>
      <c r="DK349" s="330"/>
      <c r="DL349" s="330"/>
      <c r="DM349" s="330"/>
      <c r="DN349" s="329"/>
      <c r="DO349" s="330"/>
      <c r="DP349" s="330"/>
      <c r="DQ349" s="330"/>
      <c r="DR349" s="330"/>
      <c r="DS349" s="329"/>
    </row>
    <row r="350" s="3" customFormat="1" hidden="1" outlineLevel="1" spans="2:123">
      <c r="B350" s="130"/>
      <c r="C350" s="284"/>
      <c r="D350" s="189"/>
      <c r="E350" s="189"/>
      <c r="F350" s="189"/>
      <c r="G350" s="189"/>
      <c r="H350" s="188"/>
      <c r="I350" s="189"/>
      <c r="J350" s="189"/>
      <c r="K350" s="189"/>
      <c r="L350" s="189"/>
      <c r="M350" s="188"/>
      <c r="N350" s="189"/>
      <c r="O350" s="189"/>
      <c r="P350" s="189"/>
      <c r="Q350" s="189"/>
      <c r="R350" s="188"/>
      <c r="S350" s="189"/>
      <c r="T350" s="189"/>
      <c r="U350" s="189"/>
      <c r="V350" s="189"/>
      <c r="W350" s="188"/>
      <c r="X350" s="189"/>
      <c r="Y350" s="189"/>
      <c r="Z350" s="195"/>
      <c r="AA350" s="195"/>
      <c r="AB350" s="188"/>
      <c r="AC350" s="195"/>
      <c r="AD350" s="195"/>
      <c r="AE350" s="195"/>
      <c r="AF350" s="195"/>
      <c r="AG350" s="194"/>
      <c r="AH350" s="195"/>
      <c r="AI350" s="195"/>
      <c r="AJ350" s="195"/>
      <c r="AK350" s="195"/>
      <c r="AL350" s="194"/>
      <c r="AM350" s="195"/>
      <c r="AN350" s="195"/>
      <c r="AO350" s="195"/>
      <c r="AP350" s="195"/>
      <c r="AQ350" s="194"/>
      <c r="AR350" s="195"/>
      <c r="AS350" s="195"/>
      <c r="AT350" s="195"/>
      <c r="AU350" s="195"/>
      <c r="AV350" s="194"/>
      <c r="AW350" s="195"/>
      <c r="AX350" s="195"/>
      <c r="AY350" s="195"/>
      <c r="AZ350" s="195"/>
      <c r="BA350" s="194"/>
      <c r="BB350" s="195"/>
      <c r="BC350" s="195"/>
      <c r="BD350" s="195"/>
      <c r="BE350" s="195"/>
      <c r="BF350" s="194"/>
      <c r="BG350" s="195"/>
      <c r="BH350" s="195"/>
      <c r="BI350" s="195"/>
      <c r="BJ350" s="195"/>
      <c r="BK350" s="194"/>
      <c r="BL350" s="195"/>
      <c r="BM350" s="195"/>
      <c r="BN350" s="195"/>
      <c r="BO350" s="195"/>
      <c r="BP350" s="194"/>
      <c r="BQ350" s="195"/>
      <c r="BR350" s="195"/>
      <c r="BS350" s="195"/>
      <c r="BT350" s="120"/>
      <c r="BU350" s="119"/>
      <c r="BV350" s="120"/>
      <c r="BW350" s="120"/>
      <c r="BX350" s="120"/>
      <c r="BY350" s="189"/>
      <c r="BZ350" s="188"/>
      <c r="CA350" s="189"/>
      <c r="CB350" s="189"/>
      <c r="CC350" s="189"/>
      <c r="CD350" s="189"/>
      <c r="CE350" s="188"/>
      <c r="CF350" s="189"/>
      <c r="CG350" s="189"/>
      <c r="CH350" s="189"/>
      <c r="CI350" s="189"/>
      <c r="CJ350" s="188"/>
      <c r="CK350" s="189"/>
      <c r="CL350" s="189"/>
      <c r="CM350" s="189"/>
      <c r="CN350" s="189"/>
      <c r="CO350" s="238"/>
      <c r="CP350" s="239"/>
      <c r="CQ350" s="239"/>
      <c r="CR350" s="239"/>
      <c r="CS350" s="239"/>
      <c r="CT350" s="238"/>
      <c r="CU350" s="239"/>
      <c r="CV350" s="239"/>
      <c r="CW350" s="239"/>
      <c r="CX350" s="239"/>
      <c r="CY350" s="238"/>
      <c r="CZ350" s="239"/>
      <c r="DA350" s="239"/>
      <c r="DB350" s="239"/>
      <c r="DC350" s="239"/>
      <c r="DD350" s="238"/>
      <c r="DE350" s="239"/>
      <c r="DF350" s="239"/>
      <c r="DG350" s="239"/>
      <c r="DH350" s="239"/>
      <c r="DI350" s="238"/>
      <c r="DJ350" s="239"/>
      <c r="DK350" s="239"/>
      <c r="DL350" s="239"/>
      <c r="DM350" s="239"/>
      <c r="DN350" s="238"/>
      <c r="DO350" s="239"/>
      <c r="DP350" s="239"/>
      <c r="DQ350" s="239"/>
      <c r="DR350" s="239"/>
      <c r="DS350" s="238"/>
    </row>
    <row r="351" s="89" customFormat="1" collapsed="1" spans="2:123">
      <c r="B351" s="175" t="s">
        <v>426</v>
      </c>
      <c r="C351" s="337"/>
      <c r="D351" s="132"/>
      <c r="E351" s="132"/>
      <c r="F351" s="132"/>
      <c r="G351" s="132"/>
      <c r="H351" s="131"/>
      <c r="I351" s="132"/>
      <c r="J351" s="132"/>
      <c r="K351" s="132"/>
      <c r="L351" s="132"/>
      <c r="M351" s="131"/>
      <c r="N351" s="132"/>
      <c r="O351" s="132"/>
      <c r="P351" s="132"/>
      <c r="Q351" s="132"/>
      <c r="R351" s="131"/>
      <c r="S351" s="132"/>
      <c r="T351" s="132"/>
      <c r="U351" s="132"/>
      <c r="V351" s="132"/>
      <c r="W351" s="131"/>
      <c r="X351" s="132"/>
      <c r="Y351" s="132"/>
      <c r="Z351" s="132"/>
      <c r="AA351" s="132"/>
      <c r="AB351" s="131"/>
      <c r="AC351" s="132"/>
      <c r="AD351" s="132"/>
      <c r="AE351" s="132"/>
      <c r="AF351" s="132"/>
      <c r="AG351" s="131"/>
      <c r="AH351" s="132"/>
      <c r="AI351" s="132"/>
      <c r="AJ351" s="132"/>
      <c r="AK351" s="132"/>
      <c r="AL351" s="131"/>
      <c r="AM351" s="132"/>
      <c r="AN351" s="132"/>
      <c r="AO351" s="132"/>
      <c r="AP351" s="132"/>
      <c r="AQ351" s="131"/>
      <c r="AR351" s="132"/>
      <c r="AS351" s="132"/>
      <c r="AT351" s="132"/>
      <c r="AU351" s="132"/>
      <c r="AV351" s="131"/>
      <c r="AW351" s="132"/>
      <c r="AX351" s="132"/>
      <c r="AY351" s="132"/>
      <c r="AZ351" s="132"/>
      <c r="BA351" s="131"/>
      <c r="BB351" s="132"/>
      <c r="BC351" s="132"/>
      <c r="BD351" s="132"/>
      <c r="BE351" s="132"/>
      <c r="BF351" s="131"/>
      <c r="BG351" s="132"/>
      <c r="BH351" s="132"/>
      <c r="BI351" s="132"/>
      <c r="BJ351" s="132"/>
      <c r="BK351" s="131"/>
      <c r="BL351" s="132"/>
      <c r="BM351" s="132"/>
      <c r="BN351" s="132"/>
      <c r="BO351" s="132"/>
      <c r="BP351" s="131"/>
      <c r="BQ351" s="132"/>
      <c r="BR351" s="132"/>
      <c r="BS351" s="132"/>
      <c r="BT351" s="125"/>
      <c r="BU351" s="124"/>
      <c r="BV351" s="125"/>
      <c r="BW351" s="125"/>
      <c r="BX351" s="125"/>
      <c r="BY351" s="132"/>
      <c r="BZ351" s="131"/>
      <c r="CA351" s="132"/>
      <c r="CB351" s="132"/>
      <c r="CC351" s="132"/>
      <c r="CD351" s="132"/>
      <c r="CE351" s="131"/>
      <c r="CF351" s="132"/>
      <c r="CG351" s="132"/>
      <c r="CH351" s="132"/>
      <c r="CI351" s="132"/>
      <c r="CJ351" s="131"/>
      <c r="CK351" s="132"/>
      <c r="CL351" s="132"/>
      <c r="CM351" s="132"/>
      <c r="CN351" s="132"/>
      <c r="CO351" s="134">
        <v>103.204</v>
      </c>
      <c r="CP351" s="133">
        <v>43.794</v>
      </c>
      <c r="CQ351" s="133">
        <v>51.292</v>
      </c>
      <c r="CR351" s="133">
        <v>45.552</v>
      </c>
      <c r="CS351" s="133">
        <f>CT351-CP351-CQ351-CR351</f>
        <v>61.194</v>
      </c>
      <c r="CT351" s="134">
        <v>201.832</v>
      </c>
      <c r="CU351" s="133">
        <v>66.681</v>
      </c>
      <c r="CV351" s="133">
        <v>74</v>
      </c>
      <c r="CW351" s="133">
        <v>68.762</v>
      </c>
      <c r="CX351" s="133">
        <f>CY351-CU351-CV351-CW351</f>
        <v>105.503</v>
      </c>
      <c r="CY351" s="134">
        <v>314.946</v>
      </c>
      <c r="CZ351" s="133">
        <v>72.856</v>
      </c>
      <c r="DA351" s="133">
        <v>81.243</v>
      </c>
      <c r="DB351" s="133">
        <v>84.957</v>
      </c>
      <c r="DC351" s="133">
        <f>DD351-CZ351-DA351-DB351</f>
        <v>106.845</v>
      </c>
      <c r="DD351" s="134">
        <v>345.901</v>
      </c>
      <c r="DE351" s="133">
        <v>69.423</v>
      </c>
      <c r="DF351" s="133">
        <v>74.973</v>
      </c>
      <c r="DG351" s="133"/>
      <c r="DH351" s="133"/>
      <c r="DI351" s="134"/>
      <c r="DJ351" s="133"/>
      <c r="DK351" s="133"/>
      <c r="DL351" s="133"/>
      <c r="DM351" s="133"/>
      <c r="DN351" s="134"/>
      <c r="DO351" s="133"/>
      <c r="DP351" s="133"/>
      <c r="DQ351" s="133"/>
      <c r="DR351" s="133"/>
      <c r="DS351" s="134"/>
    </row>
    <row r="352" s="3" customFormat="1" spans="2:123">
      <c r="B352" s="144" t="s">
        <v>370</v>
      </c>
      <c r="C352" s="284"/>
      <c r="D352" s="189"/>
      <c r="E352" s="189"/>
      <c r="F352" s="189"/>
      <c r="G352" s="189"/>
      <c r="H352" s="188"/>
      <c r="I352" s="189"/>
      <c r="J352" s="189"/>
      <c r="K352" s="189"/>
      <c r="L352" s="189"/>
      <c r="M352" s="188"/>
      <c r="N352" s="189"/>
      <c r="O352" s="189"/>
      <c r="P352" s="189"/>
      <c r="Q352" s="189"/>
      <c r="R352" s="188"/>
      <c r="S352" s="189"/>
      <c r="T352" s="189"/>
      <c r="U352" s="189"/>
      <c r="V352" s="189"/>
      <c r="W352" s="188"/>
      <c r="X352" s="189"/>
      <c r="Y352" s="189"/>
      <c r="Z352" s="195"/>
      <c r="AA352" s="195"/>
      <c r="AB352" s="188"/>
      <c r="AC352" s="195"/>
      <c r="AD352" s="195"/>
      <c r="AE352" s="195"/>
      <c r="AF352" s="195"/>
      <c r="AG352" s="194"/>
      <c r="AH352" s="195"/>
      <c r="AI352" s="195"/>
      <c r="AJ352" s="195"/>
      <c r="AK352" s="195"/>
      <c r="AL352" s="194"/>
      <c r="AM352" s="195"/>
      <c r="AN352" s="195"/>
      <c r="AO352" s="195"/>
      <c r="AP352" s="195"/>
      <c r="AQ352" s="194"/>
      <c r="AR352" s="195"/>
      <c r="AS352" s="195"/>
      <c r="AT352" s="195"/>
      <c r="AU352" s="195"/>
      <c r="AV352" s="194"/>
      <c r="AW352" s="195"/>
      <c r="AX352" s="195"/>
      <c r="AY352" s="195"/>
      <c r="AZ352" s="195"/>
      <c r="BA352" s="194"/>
      <c r="BB352" s="195"/>
      <c r="BC352" s="195"/>
      <c r="BD352" s="195"/>
      <c r="BE352" s="195"/>
      <c r="BF352" s="194"/>
      <c r="BG352" s="195"/>
      <c r="BH352" s="195"/>
      <c r="BI352" s="195"/>
      <c r="BJ352" s="195"/>
      <c r="BK352" s="194"/>
      <c r="BL352" s="195"/>
      <c r="BM352" s="195"/>
      <c r="BN352" s="195"/>
      <c r="BO352" s="195"/>
      <c r="BP352" s="194"/>
      <c r="BQ352" s="195"/>
      <c r="BR352" s="195"/>
      <c r="BS352" s="195"/>
      <c r="BT352" s="120"/>
      <c r="BU352" s="119"/>
      <c r="BV352" s="120"/>
      <c r="BW352" s="120"/>
      <c r="BX352" s="120"/>
      <c r="BY352" s="189"/>
      <c r="BZ352" s="188"/>
      <c r="CA352" s="189"/>
      <c r="CB352" s="189"/>
      <c r="CC352" s="189"/>
      <c r="CD352" s="189"/>
      <c r="CE352" s="188"/>
      <c r="CF352" s="189"/>
      <c r="CG352" s="189"/>
      <c r="CH352" s="189"/>
      <c r="CI352" s="189"/>
      <c r="CJ352" s="140"/>
      <c r="CK352" s="189"/>
      <c r="CL352" s="189"/>
      <c r="CM352" s="189"/>
      <c r="CN352" s="189"/>
      <c r="CO352" s="749" t="s">
        <v>208</v>
      </c>
      <c r="CP352" s="772" t="s">
        <v>208</v>
      </c>
      <c r="CQ352" s="772" t="s">
        <v>208</v>
      </c>
      <c r="CR352" s="772" t="s">
        <v>208</v>
      </c>
      <c r="CS352" s="772" t="s">
        <v>208</v>
      </c>
      <c r="CT352" s="140">
        <f t="shared" ref="CT352:CY352" si="1538">CT351/CO351-1</f>
        <v>0.955660633308786</v>
      </c>
      <c r="CU352" s="291">
        <f t="shared" si="1538"/>
        <v>0.522605836415947</v>
      </c>
      <c r="CV352" s="291">
        <f t="shared" si="1538"/>
        <v>0.442720112298214</v>
      </c>
      <c r="CW352" s="291">
        <f t="shared" si="1538"/>
        <v>0.509527572883737</v>
      </c>
      <c r="CX352" s="291">
        <f t="shared" si="1538"/>
        <v>0.724074255645979</v>
      </c>
      <c r="CY352" s="140">
        <f t="shared" si="1538"/>
        <v>0.560436402552618</v>
      </c>
      <c r="CZ352" s="291">
        <f t="shared" ref="CZ352" si="1539">CZ351/CU351-1</f>
        <v>0.0926050899056703</v>
      </c>
      <c r="DA352" s="291">
        <f t="shared" ref="DA352:DB352" si="1540">DA351/CV351-1</f>
        <v>0.0978783783783783</v>
      </c>
      <c r="DB352" s="291">
        <f t="shared" si="1540"/>
        <v>0.235522526977109</v>
      </c>
      <c r="DC352" s="291">
        <f t="shared" ref="DC352" si="1541">DC351/CX351-1</f>
        <v>0.0127200174402622</v>
      </c>
      <c r="DD352" s="140">
        <f t="shared" ref="DD352:DF352" si="1542">DD351/CY351-1</f>
        <v>0.0982866904167699</v>
      </c>
      <c r="DE352" s="291">
        <f t="shared" si="1542"/>
        <v>-0.047120346985835</v>
      </c>
      <c r="DF352" s="291">
        <f t="shared" si="1542"/>
        <v>-0.077175879768103</v>
      </c>
      <c r="DG352" s="291"/>
      <c r="DH352" s="291"/>
      <c r="DI352" s="140"/>
      <c r="DJ352" s="291"/>
      <c r="DK352" s="291"/>
      <c r="DL352" s="291"/>
      <c r="DM352" s="291"/>
      <c r="DN352" s="140"/>
      <c r="DO352" s="291"/>
      <c r="DP352" s="291"/>
      <c r="DQ352" s="291"/>
      <c r="DR352" s="291"/>
      <c r="DS352" s="140"/>
    </row>
    <row r="353" s="3" customFormat="1" spans="2:123">
      <c r="B353" s="144" t="s">
        <v>322</v>
      </c>
      <c r="C353" s="284"/>
      <c r="D353" s="189"/>
      <c r="E353" s="189"/>
      <c r="F353" s="189"/>
      <c r="G353" s="189"/>
      <c r="H353" s="188"/>
      <c r="I353" s="189"/>
      <c r="J353" s="189"/>
      <c r="K353" s="189"/>
      <c r="L353" s="189"/>
      <c r="M353" s="188"/>
      <c r="N353" s="189"/>
      <c r="O353" s="189"/>
      <c r="P353" s="189"/>
      <c r="Q353" s="189"/>
      <c r="R353" s="188"/>
      <c r="S353" s="189"/>
      <c r="T353" s="189"/>
      <c r="U353" s="189"/>
      <c r="V353" s="189"/>
      <c r="W353" s="188"/>
      <c r="X353" s="189"/>
      <c r="Y353" s="189"/>
      <c r="Z353" s="195"/>
      <c r="AA353" s="195"/>
      <c r="AB353" s="188"/>
      <c r="AC353" s="195"/>
      <c r="AD353" s="195"/>
      <c r="AE353" s="195"/>
      <c r="AF353" s="195"/>
      <c r="AG353" s="194"/>
      <c r="AH353" s="195"/>
      <c r="AI353" s="195"/>
      <c r="AJ353" s="195"/>
      <c r="AK353" s="195"/>
      <c r="AL353" s="194"/>
      <c r="AM353" s="195"/>
      <c r="AN353" s="195"/>
      <c r="AO353" s="195"/>
      <c r="AP353" s="195"/>
      <c r="AQ353" s="194"/>
      <c r="AR353" s="195"/>
      <c r="AS353" s="195"/>
      <c r="AT353" s="195"/>
      <c r="AU353" s="195"/>
      <c r="AV353" s="194"/>
      <c r="AW353" s="195"/>
      <c r="AX353" s="195"/>
      <c r="AY353" s="195"/>
      <c r="AZ353" s="195"/>
      <c r="BA353" s="194"/>
      <c r="BB353" s="195"/>
      <c r="BC353" s="195"/>
      <c r="BD353" s="195"/>
      <c r="BE353" s="195"/>
      <c r="BF353" s="194"/>
      <c r="BG353" s="195"/>
      <c r="BH353" s="195"/>
      <c r="BI353" s="195"/>
      <c r="BJ353" s="195"/>
      <c r="BK353" s="194"/>
      <c r="BL353" s="195"/>
      <c r="BM353" s="195"/>
      <c r="BN353" s="195"/>
      <c r="BO353" s="195"/>
      <c r="BP353" s="194"/>
      <c r="BQ353" s="195"/>
      <c r="BR353" s="195"/>
      <c r="BS353" s="195"/>
      <c r="BT353" s="120"/>
      <c r="BU353" s="119"/>
      <c r="BV353" s="120"/>
      <c r="BW353" s="120"/>
      <c r="BX353" s="120"/>
      <c r="BY353" s="189"/>
      <c r="BZ353" s="188"/>
      <c r="CA353" s="189"/>
      <c r="CB353" s="189"/>
      <c r="CC353" s="189"/>
      <c r="CD353" s="189"/>
      <c r="CE353" s="188"/>
      <c r="CF353" s="189"/>
      <c r="CG353" s="189"/>
      <c r="CH353" s="189"/>
      <c r="CI353" s="189"/>
      <c r="CJ353" s="140"/>
      <c r="CK353" s="189"/>
      <c r="CL353" s="189"/>
      <c r="CM353" s="189"/>
      <c r="CN353" s="189"/>
      <c r="CO353" s="140">
        <f t="shared" ref="CO353:CW353" si="1543">CO351/CO294</f>
        <v>0.144026816977201</v>
      </c>
      <c r="CP353" s="291">
        <f t="shared" si="1543"/>
        <v>0.196397980142251</v>
      </c>
      <c r="CQ353" s="291">
        <f t="shared" si="1543"/>
        <v>0.201186913358463</v>
      </c>
      <c r="CR353" s="291">
        <f t="shared" si="1543"/>
        <v>0.187283379586802</v>
      </c>
      <c r="CS353" s="291">
        <f t="shared" si="1543"/>
        <v>0.202151873226455</v>
      </c>
      <c r="CT353" s="140">
        <f t="shared" si="1543"/>
        <v>0.197126395805722</v>
      </c>
      <c r="CU353" s="291">
        <f t="shared" si="1543"/>
        <v>0.235754363759144</v>
      </c>
      <c r="CV353" s="291">
        <f t="shared" si="1543"/>
        <v>0.234581050923108</v>
      </c>
      <c r="CW353" s="291">
        <f t="shared" si="1543"/>
        <v>0.223296746119374</v>
      </c>
      <c r="CX353" s="291">
        <f t="shared" ref="CX353:DA353" si="1544">CX351/CX294</f>
        <v>0.268868693870478</v>
      </c>
      <c r="CY353" s="140">
        <f t="shared" si="1544"/>
        <v>0.242521174188551</v>
      </c>
      <c r="CZ353" s="291">
        <f t="shared" si="1544"/>
        <v>0.222121274020506</v>
      </c>
      <c r="DA353" s="291">
        <f t="shared" si="1544"/>
        <v>0.217166884075017</v>
      </c>
      <c r="DB353" s="291">
        <f t="shared" ref="DB353:DF353" si="1545">DB351/DB294</f>
        <v>0.231379501928231</v>
      </c>
      <c r="DC353" s="291">
        <f t="shared" si="1545"/>
        <v>0.24762675096645</v>
      </c>
      <c r="DD353" s="140">
        <f t="shared" si="1545"/>
        <v>0.230484348898589</v>
      </c>
      <c r="DE353" s="291">
        <f t="shared" si="1545"/>
        <v>0.186621971085866</v>
      </c>
      <c r="DF353" s="291">
        <f t="shared" si="1545"/>
        <v>0.1913728673385</v>
      </c>
      <c r="DG353" s="291"/>
      <c r="DH353" s="291"/>
      <c r="DI353" s="140"/>
      <c r="DJ353" s="291"/>
      <c r="DK353" s="291"/>
      <c r="DL353" s="291"/>
      <c r="DM353" s="291"/>
      <c r="DN353" s="140"/>
      <c r="DO353" s="291"/>
      <c r="DP353" s="291"/>
      <c r="DQ353" s="291"/>
      <c r="DR353" s="291"/>
      <c r="DS353" s="140"/>
    </row>
    <row r="354" s="3" customFormat="1" spans="2:123">
      <c r="B354" s="144" t="s">
        <v>379</v>
      </c>
      <c r="C354" s="284"/>
      <c r="D354" s="189"/>
      <c r="E354" s="189"/>
      <c r="F354" s="189"/>
      <c r="G354" s="189"/>
      <c r="H354" s="188"/>
      <c r="I354" s="189"/>
      <c r="J354" s="189"/>
      <c r="K354" s="189"/>
      <c r="L354" s="189"/>
      <c r="M354" s="188"/>
      <c r="N354" s="189"/>
      <c r="O354" s="189"/>
      <c r="P354" s="189"/>
      <c r="Q354" s="189"/>
      <c r="R354" s="188"/>
      <c r="S354" s="189"/>
      <c r="T354" s="189"/>
      <c r="U354" s="189"/>
      <c r="V354" s="189"/>
      <c r="W354" s="188"/>
      <c r="X354" s="189"/>
      <c r="Y354" s="189"/>
      <c r="Z354" s="195"/>
      <c r="AA354" s="195"/>
      <c r="AB354" s="188"/>
      <c r="AC354" s="195"/>
      <c r="AD354" s="195"/>
      <c r="AE354" s="195"/>
      <c r="AF354" s="195"/>
      <c r="AG354" s="194"/>
      <c r="AH354" s="195"/>
      <c r="AI354" s="195"/>
      <c r="AJ354" s="195"/>
      <c r="AK354" s="195"/>
      <c r="AL354" s="194"/>
      <c r="AM354" s="195"/>
      <c r="AN354" s="195"/>
      <c r="AO354" s="195"/>
      <c r="AP354" s="195"/>
      <c r="AQ354" s="194"/>
      <c r="AR354" s="195"/>
      <c r="AS354" s="195"/>
      <c r="AT354" s="195"/>
      <c r="AU354" s="195"/>
      <c r="AV354" s="194"/>
      <c r="AW354" s="195"/>
      <c r="AX354" s="195"/>
      <c r="AY354" s="195"/>
      <c r="AZ354" s="195"/>
      <c r="BA354" s="194"/>
      <c r="BB354" s="195"/>
      <c r="BC354" s="195"/>
      <c r="BD354" s="195"/>
      <c r="BE354" s="195"/>
      <c r="BF354" s="194"/>
      <c r="BG354" s="195"/>
      <c r="BH354" s="195"/>
      <c r="BI354" s="195"/>
      <c r="BJ354" s="195"/>
      <c r="BK354" s="194"/>
      <c r="BL354" s="195"/>
      <c r="BM354" s="195"/>
      <c r="BN354" s="195"/>
      <c r="BO354" s="195"/>
      <c r="BP354" s="194"/>
      <c r="BQ354" s="195"/>
      <c r="BR354" s="195"/>
      <c r="BS354" s="195"/>
      <c r="BT354" s="120"/>
      <c r="BU354" s="119"/>
      <c r="BV354" s="120"/>
      <c r="BW354" s="120"/>
      <c r="BX354" s="120"/>
      <c r="BY354" s="189"/>
      <c r="BZ354" s="188"/>
      <c r="CA354" s="189"/>
      <c r="CB354" s="189"/>
      <c r="CC354" s="189"/>
      <c r="CD354" s="189"/>
      <c r="CE354" s="188"/>
      <c r="CF354" s="189"/>
      <c r="CG354" s="189"/>
      <c r="CH354" s="189"/>
      <c r="CI354" s="189"/>
      <c r="CJ354" s="140"/>
      <c r="CK354" s="189"/>
      <c r="CL354" s="189"/>
      <c r="CM354" s="189"/>
      <c r="CN354" s="189"/>
      <c r="CO354" s="749" t="s">
        <v>208</v>
      </c>
      <c r="CP354" s="772" t="s">
        <v>208</v>
      </c>
      <c r="CQ354" s="772" t="s">
        <v>208</v>
      </c>
      <c r="CR354" s="772" t="s">
        <v>208</v>
      </c>
      <c r="CS354" s="772" t="s">
        <v>208</v>
      </c>
      <c r="CT354" s="329">
        <f t="shared" ref="CT354:DB354" si="1546">(CT353-CO353)*100*100</f>
        <v>530.995788285208</v>
      </c>
      <c r="CU354" s="330">
        <f t="shared" si="1546"/>
        <v>393.563836168928</v>
      </c>
      <c r="CV354" s="330">
        <f t="shared" si="1546"/>
        <v>333.941375646454</v>
      </c>
      <c r="CW354" s="330">
        <f t="shared" si="1546"/>
        <v>360.133665325716</v>
      </c>
      <c r="CX354" s="330">
        <f t="shared" si="1546"/>
        <v>667.168206440224</v>
      </c>
      <c r="CY354" s="329">
        <f t="shared" si="1546"/>
        <v>453.94778382829</v>
      </c>
      <c r="CZ354" s="330">
        <f t="shared" si="1546"/>
        <v>-136.330897386378</v>
      </c>
      <c r="DA354" s="330">
        <f t="shared" si="1546"/>
        <v>-174.141668480916</v>
      </c>
      <c r="DB354" s="330">
        <f t="shared" si="1546"/>
        <v>80.8275580885667</v>
      </c>
      <c r="DC354" s="330">
        <f t="shared" ref="DC354" si="1547">(DC353-CX353)*100*100</f>
        <v>-212.419429040278</v>
      </c>
      <c r="DD354" s="329">
        <f t="shared" ref="DD354:DF354" si="1548">(DD353-CY353)*100*100</f>
        <v>-120.368252899614</v>
      </c>
      <c r="DE354" s="330">
        <f t="shared" si="1548"/>
        <v>-354.9930293464</v>
      </c>
      <c r="DF354" s="330">
        <f t="shared" si="1548"/>
        <v>-257.940167365169</v>
      </c>
      <c r="DG354" s="334"/>
      <c r="DH354" s="334"/>
      <c r="DI354" s="329"/>
      <c r="DJ354" s="334"/>
      <c r="DK354" s="334"/>
      <c r="DL354" s="334"/>
      <c r="DM354" s="334"/>
      <c r="DN354" s="329"/>
      <c r="DO354" s="334"/>
      <c r="DP354" s="334"/>
      <c r="DQ354" s="334"/>
      <c r="DR354" s="334"/>
      <c r="DS354" s="329"/>
    </row>
    <row r="355" s="3" customFormat="1" spans="2:123">
      <c r="B355" s="130"/>
      <c r="C355" s="284"/>
      <c r="D355" s="189"/>
      <c r="E355" s="189"/>
      <c r="F355" s="189"/>
      <c r="G355" s="189"/>
      <c r="H355" s="188"/>
      <c r="I355" s="189"/>
      <c r="J355" s="189"/>
      <c r="K355" s="189"/>
      <c r="L355" s="189"/>
      <c r="M355" s="188"/>
      <c r="N355" s="189"/>
      <c r="O355" s="189"/>
      <c r="P355" s="189"/>
      <c r="Q355" s="189"/>
      <c r="R355" s="188"/>
      <c r="S355" s="189"/>
      <c r="T355" s="189"/>
      <c r="U355" s="189"/>
      <c r="V355" s="189"/>
      <c r="W355" s="188"/>
      <c r="X355" s="189"/>
      <c r="Y355" s="189"/>
      <c r="Z355" s="195"/>
      <c r="AA355" s="195"/>
      <c r="AB355" s="188"/>
      <c r="AC355" s="195"/>
      <c r="AD355" s="195"/>
      <c r="AE355" s="195"/>
      <c r="AF355" s="195"/>
      <c r="AG355" s="194"/>
      <c r="AH355" s="195"/>
      <c r="AI355" s="195"/>
      <c r="AJ355" s="195"/>
      <c r="AK355" s="195"/>
      <c r="AL355" s="194"/>
      <c r="AM355" s="195"/>
      <c r="AN355" s="195"/>
      <c r="AO355" s="195"/>
      <c r="AP355" s="195"/>
      <c r="AQ355" s="194"/>
      <c r="AR355" s="195"/>
      <c r="AS355" s="195"/>
      <c r="AT355" s="195"/>
      <c r="AU355" s="195"/>
      <c r="AV355" s="194"/>
      <c r="AW355" s="195"/>
      <c r="AX355" s="195"/>
      <c r="AY355" s="195"/>
      <c r="AZ355" s="195"/>
      <c r="BA355" s="194"/>
      <c r="BB355" s="195"/>
      <c r="BC355" s="195"/>
      <c r="BD355" s="195"/>
      <c r="BE355" s="195"/>
      <c r="BF355" s="194"/>
      <c r="BG355" s="195"/>
      <c r="BH355" s="195"/>
      <c r="BI355" s="195"/>
      <c r="BJ355" s="195"/>
      <c r="BK355" s="194"/>
      <c r="BL355" s="195"/>
      <c r="BM355" s="195"/>
      <c r="BN355" s="195"/>
      <c r="BO355" s="195"/>
      <c r="BP355" s="194"/>
      <c r="BQ355" s="195"/>
      <c r="BR355" s="195"/>
      <c r="BS355" s="195"/>
      <c r="BT355" s="120"/>
      <c r="BU355" s="119"/>
      <c r="BV355" s="120"/>
      <c r="BW355" s="120"/>
      <c r="BX355" s="120"/>
      <c r="BY355" s="189"/>
      <c r="BZ355" s="188"/>
      <c r="CA355" s="189"/>
      <c r="CB355" s="189"/>
      <c r="CC355" s="189"/>
      <c r="CD355" s="189"/>
      <c r="CE355" s="188"/>
      <c r="CF355" s="189"/>
      <c r="CG355" s="189"/>
      <c r="CH355" s="189"/>
      <c r="CI355" s="189"/>
      <c r="CJ355" s="188"/>
      <c r="CK355" s="189"/>
      <c r="CL355" s="189"/>
      <c r="CM355" s="189"/>
      <c r="CN355" s="189"/>
      <c r="CO355" s="238"/>
      <c r="CP355" s="239"/>
      <c r="CQ355" s="239"/>
      <c r="CR355" s="239"/>
      <c r="CS355" s="239"/>
      <c r="CT355" s="238"/>
      <c r="CU355" s="239"/>
      <c r="CV355" s="239"/>
      <c r="CW355" s="239"/>
      <c r="CX355" s="239"/>
      <c r="CY355" s="238"/>
      <c r="CZ355" s="239"/>
      <c r="DA355" s="239"/>
      <c r="DB355" s="239"/>
      <c r="DC355" s="239"/>
      <c r="DD355" s="238"/>
      <c r="DE355" s="239"/>
      <c r="DF355" s="239"/>
      <c r="DG355" s="189"/>
      <c r="DH355" s="189"/>
      <c r="DI355" s="188"/>
      <c r="DJ355" s="189"/>
      <c r="DK355" s="189"/>
      <c r="DL355" s="189"/>
      <c r="DM355" s="189"/>
      <c r="DN355" s="188"/>
      <c r="DO355" s="189"/>
      <c r="DP355" s="189"/>
      <c r="DQ355" s="189"/>
      <c r="DR355" s="189"/>
      <c r="DS355" s="188"/>
    </row>
    <row r="356" s="88" customFormat="1" hidden="1" outlineLevel="1" spans="2:123">
      <c r="B356" s="179" t="s">
        <v>427</v>
      </c>
      <c r="C356" s="220"/>
      <c r="D356" s="125"/>
      <c r="E356" s="125"/>
      <c r="F356" s="125"/>
      <c r="G356" s="125"/>
      <c r="H356" s="124"/>
      <c r="I356" s="125"/>
      <c r="J356" s="125"/>
      <c r="K356" s="125"/>
      <c r="L356" s="125"/>
      <c r="M356" s="124"/>
      <c r="N356" s="125"/>
      <c r="O356" s="125"/>
      <c r="P356" s="125"/>
      <c r="Q356" s="125"/>
      <c r="R356" s="124"/>
      <c r="S356" s="125"/>
      <c r="T356" s="125"/>
      <c r="U356" s="125"/>
      <c r="V356" s="125"/>
      <c r="W356" s="124"/>
      <c r="X356" s="125"/>
      <c r="Y356" s="125"/>
      <c r="Z356" s="125"/>
      <c r="AA356" s="125"/>
      <c r="AB356" s="124"/>
      <c r="AC356" s="125"/>
      <c r="AD356" s="125"/>
      <c r="AE356" s="125"/>
      <c r="AF356" s="125"/>
      <c r="AG356" s="124"/>
      <c r="AH356" s="125"/>
      <c r="AI356" s="125"/>
      <c r="AJ356" s="125"/>
      <c r="AK356" s="125"/>
      <c r="AL356" s="124"/>
      <c r="AM356" s="125"/>
      <c r="AN356" s="125"/>
      <c r="AO356" s="125"/>
      <c r="AP356" s="125"/>
      <c r="AQ356" s="124"/>
      <c r="AR356" s="125"/>
      <c r="AS356" s="125"/>
      <c r="AT356" s="125"/>
      <c r="AU356" s="125"/>
      <c r="AV356" s="124"/>
      <c r="AW356" s="125"/>
      <c r="AX356" s="125"/>
      <c r="AY356" s="125"/>
      <c r="AZ356" s="125"/>
      <c r="BA356" s="124"/>
      <c r="BB356" s="125"/>
      <c r="BC356" s="125"/>
      <c r="BD356" s="125"/>
      <c r="BE356" s="125"/>
      <c r="BF356" s="124"/>
      <c r="BG356" s="125"/>
      <c r="BH356" s="125"/>
      <c r="BI356" s="125"/>
      <c r="BJ356" s="125"/>
      <c r="BK356" s="124"/>
      <c r="BL356" s="125"/>
      <c r="BM356" s="125"/>
      <c r="BN356" s="125"/>
      <c r="BO356" s="125"/>
      <c r="BP356" s="124"/>
      <c r="BQ356" s="125"/>
      <c r="BR356" s="125"/>
      <c r="BS356" s="125"/>
      <c r="BT356" s="125"/>
      <c r="BU356" s="124"/>
      <c r="BV356" s="125"/>
      <c r="BW356" s="125"/>
      <c r="BX356" s="125"/>
      <c r="BY356" s="125"/>
      <c r="BZ356" s="124"/>
      <c r="CA356" s="125"/>
      <c r="CB356" s="125"/>
      <c r="CC356" s="125"/>
      <c r="CD356" s="125"/>
      <c r="CE356" s="124"/>
      <c r="CF356" s="125"/>
      <c r="CG356" s="125"/>
      <c r="CH356" s="125"/>
      <c r="CI356" s="125"/>
      <c r="CJ356" s="124"/>
      <c r="CK356" s="125"/>
      <c r="CL356" s="125"/>
      <c r="CM356" s="125"/>
      <c r="CN356" s="125"/>
      <c r="CO356" s="127">
        <v>19.346</v>
      </c>
      <c r="CP356" s="126">
        <v>5.298</v>
      </c>
      <c r="CQ356" s="126">
        <v>5.755</v>
      </c>
      <c r="CR356" s="126">
        <v>5.911</v>
      </c>
      <c r="CS356" s="126">
        <f>CT356-CP356-CQ356-CR356</f>
        <v>6.68</v>
      </c>
      <c r="CT356" s="127">
        <v>23.644</v>
      </c>
      <c r="CU356" s="126">
        <v>6.506</v>
      </c>
      <c r="CV356" s="126">
        <v>7.407</v>
      </c>
      <c r="CW356" s="126">
        <v>8.151</v>
      </c>
      <c r="CX356" s="126">
        <f>CY356-CU356-CV356-CW356</f>
        <v>8.808</v>
      </c>
      <c r="CY356" s="127">
        <v>30.872</v>
      </c>
      <c r="CZ356" s="126">
        <v>8.712</v>
      </c>
      <c r="DA356" s="126">
        <v>8.574</v>
      </c>
      <c r="DB356" s="126">
        <v>9.418</v>
      </c>
      <c r="DC356" s="126">
        <f>DD356-CZ356-DA356-DB356</f>
        <v>9.881</v>
      </c>
      <c r="DD356" s="127">
        <v>36.585</v>
      </c>
      <c r="DE356" s="126">
        <v>10.538</v>
      </c>
      <c r="DF356" s="126">
        <v>11.092</v>
      </c>
      <c r="DG356" s="125"/>
      <c r="DH356" s="125"/>
      <c r="DI356" s="124"/>
      <c r="DJ356" s="125"/>
      <c r="DK356" s="125"/>
      <c r="DL356" s="125"/>
      <c r="DM356" s="125"/>
      <c r="DN356" s="124"/>
      <c r="DO356" s="125"/>
      <c r="DP356" s="125"/>
      <c r="DQ356" s="125"/>
      <c r="DR356" s="125"/>
      <c r="DS356" s="124"/>
    </row>
    <row r="357" s="89" customFormat="1" hidden="1" outlineLevel="1" spans="2:123">
      <c r="B357" s="175" t="s">
        <v>428</v>
      </c>
      <c r="C357" s="337"/>
      <c r="D357" s="132"/>
      <c r="E357" s="132"/>
      <c r="F357" s="132"/>
      <c r="G357" s="132"/>
      <c r="H357" s="131"/>
      <c r="I357" s="132"/>
      <c r="J357" s="132"/>
      <c r="K357" s="132"/>
      <c r="L357" s="132"/>
      <c r="M357" s="131"/>
      <c r="N357" s="132"/>
      <c r="O357" s="132"/>
      <c r="P357" s="132"/>
      <c r="Q357" s="132"/>
      <c r="R357" s="131"/>
      <c r="S357" s="132"/>
      <c r="T357" s="132"/>
      <c r="U357" s="132"/>
      <c r="V357" s="132"/>
      <c r="W357" s="131"/>
      <c r="X357" s="132"/>
      <c r="Y357" s="132"/>
      <c r="Z357" s="132"/>
      <c r="AA357" s="132"/>
      <c r="AB357" s="131"/>
      <c r="AC357" s="132"/>
      <c r="AD357" s="132"/>
      <c r="AE357" s="132"/>
      <c r="AF357" s="132"/>
      <c r="AG357" s="131"/>
      <c r="AH357" s="132"/>
      <c r="AI357" s="132"/>
      <c r="AJ357" s="132"/>
      <c r="AK357" s="132"/>
      <c r="AL357" s="131"/>
      <c r="AM357" s="132"/>
      <c r="AN357" s="132"/>
      <c r="AO357" s="132"/>
      <c r="AP357" s="132"/>
      <c r="AQ357" s="131"/>
      <c r="AR357" s="132"/>
      <c r="AS357" s="132"/>
      <c r="AT357" s="132"/>
      <c r="AU357" s="132"/>
      <c r="AV357" s="131"/>
      <c r="AW357" s="132"/>
      <c r="AX357" s="132"/>
      <c r="AY357" s="132"/>
      <c r="AZ357" s="132"/>
      <c r="BA357" s="131"/>
      <c r="BB357" s="132"/>
      <c r="BC357" s="132"/>
      <c r="BD357" s="132"/>
      <c r="BE357" s="132"/>
      <c r="BF357" s="131"/>
      <c r="BG357" s="132"/>
      <c r="BH357" s="132"/>
      <c r="BI357" s="132"/>
      <c r="BJ357" s="132"/>
      <c r="BK357" s="131"/>
      <c r="BL357" s="132"/>
      <c r="BM357" s="132"/>
      <c r="BN357" s="132"/>
      <c r="BO357" s="132"/>
      <c r="BP357" s="131"/>
      <c r="BQ357" s="132"/>
      <c r="BR357" s="132"/>
      <c r="BS357" s="132"/>
      <c r="BT357" s="125"/>
      <c r="BU357" s="124"/>
      <c r="BV357" s="125"/>
      <c r="BW357" s="125"/>
      <c r="BX357" s="125"/>
      <c r="BY357" s="132"/>
      <c r="BZ357" s="131"/>
      <c r="CA357" s="132"/>
      <c r="CB357" s="132"/>
      <c r="CC357" s="132"/>
      <c r="CD357" s="132"/>
      <c r="CE357" s="131"/>
      <c r="CF357" s="132"/>
      <c r="CG357" s="132"/>
      <c r="CH357" s="132"/>
      <c r="CI357" s="132"/>
      <c r="CJ357" s="131"/>
      <c r="CK357" s="132"/>
      <c r="CL357" s="132"/>
      <c r="CM357" s="132"/>
      <c r="CN357" s="132"/>
      <c r="CO357" s="134">
        <f t="shared" ref="CO357:CW357" si="1549">CO351+CO356</f>
        <v>122.55</v>
      </c>
      <c r="CP357" s="133">
        <f t="shared" si="1549"/>
        <v>49.092</v>
      </c>
      <c r="CQ357" s="133">
        <f t="shared" si="1549"/>
        <v>57.047</v>
      </c>
      <c r="CR357" s="133">
        <f t="shared" si="1549"/>
        <v>51.463</v>
      </c>
      <c r="CS357" s="133">
        <f t="shared" si="1549"/>
        <v>67.874</v>
      </c>
      <c r="CT357" s="134">
        <f t="shared" si="1549"/>
        <v>225.476</v>
      </c>
      <c r="CU357" s="133">
        <f t="shared" si="1549"/>
        <v>73.187</v>
      </c>
      <c r="CV357" s="133">
        <f t="shared" si="1549"/>
        <v>81.407</v>
      </c>
      <c r="CW357" s="133">
        <f t="shared" si="1549"/>
        <v>76.913</v>
      </c>
      <c r="CX357" s="133">
        <f t="shared" ref="CX357:CZ357" si="1550">CX351+CX356</f>
        <v>114.311</v>
      </c>
      <c r="CY357" s="134">
        <f t="shared" si="1550"/>
        <v>345.818</v>
      </c>
      <c r="CZ357" s="133">
        <f t="shared" si="1550"/>
        <v>81.568</v>
      </c>
      <c r="DA357" s="133">
        <f t="shared" ref="DA357:DC357" si="1551">DA351+DA356</f>
        <v>89.817</v>
      </c>
      <c r="DB357" s="133">
        <f t="shared" si="1551"/>
        <v>94.375</v>
      </c>
      <c r="DC357" s="133">
        <f t="shared" si="1551"/>
        <v>116.726</v>
      </c>
      <c r="DD357" s="134">
        <f t="shared" ref="DD357:DF357" si="1552">DD351+DD356</f>
        <v>382.486</v>
      </c>
      <c r="DE357" s="133">
        <f t="shared" si="1552"/>
        <v>79.961</v>
      </c>
      <c r="DF357" s="133">
        <f t="shared" si="1552"/>
        <v>86.065</v>
      </c>
      <c r="DG357" s="132"/>
      <c r="DH357" s="132"/>
      <c r="DI357" s="131"/>
      <c r="DJ357" s="132"/>
      <c r="DK357" s="132"/>
      <c r="DL357" s="132"/>
      <c r="DM357" s="132"/>
      <c r="DN357" s="131"/>
      <c r="DO357" s="132"/>
      <c r="DP357" s="132"/>
      <c r="DQ357" s="132"/>
      <c r="DR357" s="132"/>
      <c r="DS357" s="131"/>
    </row>
    <row r="358" s="3" customFormat="1" hidden="1" outlineLevel="1" spans="2:123">
      <c r="B358" s="144" t="s">
        <v>370</v>
      </c>
      <c r="C358" s="284"/>
      <c r="D358" s="189"/>
      <c r="E358" s="189"/>
      <c r="F358" s="189"/>
      <c r="G358" s="189"/>
      <c r="H358" s="188"/>
      <c r="I358" s="189"/>
      <c r="J358" s="189"/>
      <c r="K358" s="189"/>
      <c r="L358" s="189"/>
      <c r="M358" s="188"/>
      <c r="N358" s="189"/>
      <c r="O358" s="189"/>
      <c r="P358" s="189"/>
      <c r="Q358" s="189"/>
      <c r="R358" s="188"/>
      <c r="S358" s="189"/>
      <c r="T358" s="189"/>
      <c r="U358" s="189"/>
      <c r="V358" s="189"/>
      <c r="W358" s="188"/>
      <c r="X358" s="189"/>
      <c r="Y358" s="189"/>
      <c r="Z358" s="195"/>
      <c r="AA358" s="195"/>
      <c r="AB358" s="188"/>
      <c r="AC358" s="195"/>
      <c r="AD358" s="195"/>
      <c r="AE358" s="195"/>
      <c r="AF358" s="195"/>
      <c r="AG358" s="194"/>
      <c r="AH358" s="195"/>
      <c r="AI358" s="195"/>
      <c r="AJ358" s="195"/>
      <c r="AK358" s="195"/>
      <c r="AL358" s="194"/>
      <c r="AM358" s="195"/>
      <c r="AN358" s="195"/>
      <c r="AO358" s="195"/>
      <c r="AP358" s="195"/>
      <c r="AQ358" s="194"/>
      <c r="AR358" s="195"/>
      <c r="AS358" s="195"/>
      <c r="AT358" s="195"/>
      <c r="AU358" s="195"/>
      <c r="AV358" s="194"/>
      <c r="AW358" s="195"/>
      <c r="AX358" s="195"/>
      <c r="AY358" s="195"/>
      <c r="AZ358" s="195"/>
      <c r="BA358" s="194"/>
      <c r="BB358" s="195"/>
      <c r="BC358" s="195"/>
      <c r="BD358" s="195"/>
      <c r="BE358" s="195"/>
      <c r="BF358" s="194"/>
      <c r="BG358" s="195"/>
      <c r="BH358" s="195"/>
      <c r="BI358" s="195"/>
      <c r="BJ358" s="195"/>
      <c r="BK358" s="194"/>
      <c r="BL358" s="195"/>
      <c r="BM358" s="195"/>
      <c r="BN358" s="195"/>
      <c r="BO358" s="195"/>
      <c r="BP358" s="194"/>
      <c r="BQ358" s="195"/>
      <c r="BR358" s="195"/>
      <c r="BS358" s="195"/>
      <c r="BT358" s="120"/>
      <c r="BU358" s="119"/>
      <c r="BV358" s="120"/>
      <c r="BW358" s="120"/>
      <c r="BX358" s="120"/>
      <c r="BY358" s="189"/>
      <c r="BZ358" s="188"/>
      <c r="CA358" s="189"/>
      <c r="CB358" s="189"/>
      <c r="CC358" s="189"/>
      <c r="CD358" s="189"/>
      <c r="CE358" s="188"/>
      <c r="CF358" s="189"/>
      <c r="CG358" s="189"/>
      <c r="CH358" s="189"/>
      <c r="CI358" s="189"/>
      <c r="CJ358" s="140"/>
      <c r="CK358" s="189"/>
      <c r="CL358" s="189"/>
      <c r="CM358" s="189"/>
      <c r="CN358" s="189"/>
      <c r="CO358" s="749" t="s">
        <v>208</v>
      </c>
      <c r="CP358" s="772" t="s">
        <v>208</v>
      </c>
      <c r="CQ358" s="772" t="s">
        <v>208</v>
      </c>
      <c r="CR358" s="772" t="s">
        <v>208</v>
      </c>
      <c r="CS358" s="772" t="s">
        <v>208</v>
      </c>
      <c r="CT358" s="140">
        <f t="shared" ref="CT358:DF358" si="1553">CT357/CO357-1</f>
        <v>0.839869441044472</v>
      </c>
      <c r="CU358" s="291">
        <f t="shared" si="1553"/>
        <v>0.490813167114805</v>
      </c>
      <c r="CV358" s="291">
        <f t="shared" si="1553"/>
        <v>0.427016319876593</v>
      </c>
      <c r="CW358" s="291">
        <f t="shared" si="1553"/>
        <v>0.494530050716048</v>
      </c>
      <c r="CX358" s="291">
        <f t="shared" si="1553"/>
        <v>0.684164775908301</v>
      </c>
      <c r="CY358" s="140">
        <f t="shared" si="1553"/>
        <v>0.533724210115489</v>
      </c>
      <c r="CZ358" s="291">
        <f t="shared" si="1553"/>
        <v>0.114514872859934</v>
      </c>
      <c r="DA358" s="291">
        <f t="shared" si="1553"/>
        <v>0.103308069330647</v>
      </c>
      <c r="DB358" s="291">
        <f t="shared" si="1553"/>
        <v>0.22703574168216</v>
      </c>
      <c r="DC358" s="291">
        <f t="shared" si="1553"/>
        <v>0.0211265757451162</v>
      </c>
      <c r="DD358" s="140">
        <f t="shared" si="1553"/>
        <v>0.106032653014013</v>
      </c>
      <c r="DE358" s="291">
        <f t="shared" si="1553"/>
        <v>-0.0197013534719498</v>
      </c>
      <c r="DF358" s="291">
        <f t="shared" si="1553"/>
        <v>-0.0417738290078715</v>
      </c>
      <c r="DG358" s="189"/>
      <c r="DH358" s="189"/>
      <c r="DI358" s="140"/>
      <c r="DJ358" s="189"/>
      <c r="DK358" s="189"/>
      <c r="DL358" s="189"/>
      <c r="DM358" s="189"/>
      <c r="DN358" s="140"/>
      <c r="DO358" s="189"/>
      <c r="DP358" s="189"/>
      <c r="DQ358" s="189"/>
      <c r="DR358" s="189"/>
      <c r="DS358" s="140"/>
    </row>
    <row r="359" s="3" customFormat="1" hidden="1" outlineLevel="1" spans="2:123">
      <c r="B359" s="144" t="s">
        <v>322</v>
      </c>
      <c r="C359" s="284"/>
      <c r="D359" s="189"/>
      <c r="E359" s="189"/>
      <c r="F359" s="189"/>
      <c r="G359" s="189"/>
      <c r="H359" s="188"/>
      <c r="I359" s="189"/>
      <c r="J359" s="189"/>
      <c r="K359" s="189"/>
      <c r="L359" s="189"/>
      <c r="M359" s="188"/>
      <c r="N359" s="189"/>
      <c r="O359" s="189"/>
      <c r="P359" s="189"/>
      <c r="Q359" s="189"/>
      <c r="R359" s="188"/>
      <c r="S359" s="189"/>
      <c r="T359" s="189"/>
      <c r="U359" s="189"/>
      <c r="V359" s="189"/>
      <c r="W359" s="188"/>
      <c r="X359" s="189"/>
      <c r="Y359" s="189"/>
      <c r="Z359" s="195"/>
      <c r="AA359" s="195"/>
      <c r="AB359" s="188"/>
      <c r="AC359" s="195"/>
      <c r="AD359" s="195"/>
      <c r="AE359" s="195"/>
      <c r="AF359" s="195"/>
      <c r="AG359" s="194"/>
      <c r="AH359" s="195"/>
      <c r="AI359" s="195"/>
      <c r="AJ359" s="195"/>
      <c r="AK359" s="195"/>
      <c r="AL359" s="194"/>
      <c r="AM359" s="195"/>
      <c r="AN359" s="195"/>
      <c r="AO359" s="195"/>
      <c r="AP359" s="195"/>
      <c r="AQ359" s="194"/>
      <c r="AR359" s="195"/>
      <c r="AS359" s="195"/>
      <c r="AT359" s="195"/>
      <c r="AU359" s="195"/>
      <c r="AV359" s="194"/>
      <c r="AW359" s="195"/>
      <c r="AX359" s="195"/>
      <c r="AY359" s="195"/>
      <c r="AZ359" s="195"/>
      <c r="BA359" s="194"/>
      <c r="BB359" s="195"/>
      <c r="BC359" s="195"/>
      <c r="BD359" s="195"/>
      <c r="BE359" s="195"/>
      <c r="BF359" s="194"/>
      <c r="BG359" s="195"/>
      <c r="BH359" s="195"/>
      <c r="BI359" s="195"/>
      <c r="BJ359" s="195"/>
      <c r="BK359" s="194"/>
      <c r="BL359" s="195"/>
      <c r="BM359" s="195"/>
      <c r="BN359" s="195"/>
      <c r="BO359" s="195"/>
      <c r="BP359" s="194"/>
      <c r="BQ359" s="195"/>
      <c r="BR359" s="195"/>
      <c r="BS359" s="195"/>
      <c r="BT359" s="120"/>
      <c r="BU359" s="119"/>
      <c r="BV359" s="120"/>
      <c r="BW359" s="120"/>
      <c r="BX359" s="120"/>
      <c r="BY359" s="189"/>
      <c r="BZ359" s="188"/>
      <c r="CA359" s="189"/>
      <c r="CB359" s="189"/>
      <c r="CC359" s="189"/>
      <c r="CD359" s="189"/>
      <c r="CE359" s="188"/>
      <c r="CF359" s="189"/>
      <c r="CG359" s="189"/>
      <c r="CH359" s="189"/>
      <c r="CI359" s="189"/>
      <c r="CJ359" s="140"/>
      <c r="CK359" s="189"/>
      <c r="CL359" s="189"/>
      <c r="CM359" s="189"/>
      <c r="CN359" s="189"/>
      <c r="CO359" s="140">
        <f t="shared" ref="CO359:CW359" si="1554">CO357/CO294</f>
        <v>0.171025216276074</v>
      </c>
      <c r="CP359" s="343">
        <f t="shared" si="1554"/>
        <v>0.220157319293588</v>
      </c>
      <c r="CQ359" s="343">
        <f t="shared" si="1554"/>
        <v>0.223760232518916</v>
      </c>
      <c r="CR359" s="343">
        <f t="shared" si="1554"/>
        <v>0.211585980059616</v>
      </c>
      <c r="CS359" s="343">
        <f t="shared" si="1554"/>
        <v>0.224218979693637</v>
      </c>
      <c r="CT359" s="140">
        <f t="shared" si="1554"/>
        <v>0.22021914870135</v>
      </c>
      <c r="CU359" s="343">
        <f t="shared" si="1554"/>
        <v>0.258756686618984</v>
      </c>
      <c r="CV359" s="343">
        <f t="shared" si="1554"/>
        <v>0.258061346114831</v>
      </c>
      <c r="CW359" s="343">
        <f t="shared" si="1554"/>
        <v>0.249766188218484</v>
      </c>
      <c r="CX359" s="343">
        <f t="shared" ref="CX359:CZ359" si="1555">CX357/CX294</f>
        <v>0.291315405865503</v>
      </c>
      <c r="CY359" s="140">
        <f t="shared" si="1555"/>
        <v>0.266293864394329</v>
      </c>
      <c r="CZ359" s="343">
        <f t="shared" si="1555"/>
        <v>0.248682168651925</v>
      </c>
      <c r="DA359" s="343">
        <f t="shared" ref="DA359:DC359" si="1556">DA357/DA294</f>
        <v>0.240085644633578</v>
      </c>
      <c r="DB359" s="343">
        <f t="shared" si="1556"/>
        <v>0.257029326535503</v>
      </c>
      <c r="DC359" s="343">
        <f t="shared" si="1556"/>
        <v>0.270527213564602</v>
      </c>
      <c r="DD359" s="140">
        <f t="shared" ref="DD359:DF359" si="1557">DD357/DD294</f>
        <v>0.254862046287307</v>
      </c>
      <c r="DE359" s="343">
        <f t="shared" si="1557"/>
        <v>0.214950080376776</v>
      </c>
      <c r="DF359" s="343">
        <f t="shared" si="1557"/>
        <v>0.219685831265762</v>
      </c>
      <c r="DG359" s="189"/>
      <c r="DH359" s="189"/>
      <c r="DI359" s="140"/>
      <c r="DJ359" s="189"/>
      <c r="DK359" s="189"/>
      <c r="DL359" s="189"/>
      <c r="DM359" s="189"/>
      <c r="DN359" s="140"/>
      <c r="DO359" s="189"/>
      <c r="DP359" s="189"/>
      <c r="DQ359" s="189"/>
      <c r="DR359" s="189"/>
      <c r="DS359" s="140"/>
    </row>
    <row r="360" s="3" customFormat="1" hidden="1" outlineLevel="1" spans="2:123">
      <c r="B360" s="144" t="s">
        <v>379</v>
      </c>
      <c r="C360" s="284"/>
      <c r="D360" s="189"/>
      <c r="E360" s="189"/>
      <c r="F360" s="189"/>
      <c r="G360" s="189"/>
      <c r="H360" s="188"/>
      <c r="I360" s="189"/>
      <c r="J360" s="189"/>
      <c r="K360" s="189"/>
      <c r="L360" s="189"/>
      <c r="M360" s="188"/>
      <c r="N360" s="189"/>
      <c r="O360" s="189"/>
      <c r="P360" s="189"/>
      <c r="Q360" s="189"/>
      <c r="R360" s="188"/>
      <c r="S360" s="189"/>
      <c r="T360" s="189"/>
      <c r="U360" s="189"/>
      <c r="V360" s="189"/>
      <c r="W360" s="188"/>
      <c r="X360" s="189"/>
      <c r="Y360" s="189"/>
      <c r="Z360" s="195"/>
      <c r="AA360" s="195"/>
      <c r="AB360" s="188"/>
      <c r="AC360" s="195"/>
      <c r="AD360" s="195"/>
      <c r="AE360" s="195"/>
      <c r="AF360" s="195"/>
      <c r="AG360" s="194"/>
      <c r="AH360" s="195"/>
      <c r="AI360" s="195"/>
      <c r="AJ360" s="195"/>
      <c r="AK360" s="195"/>
      <c r="AL360" s="194"/>
      <c r="AM360" s="195"/>
      <c r="AN360" s="195"/>
      <c r="AO360" s="195"/>
      <c r="AP360" s="195"/>
      <c r="AQ360" s="194"/>
      <c r="AR360" s="195"/>
      <c r="AS360" s="195"/>
      <c r="AT360" s="195"/>
      <c r="AU360" s="195"/>
      <c r="AV360" s="194"/>
      <c r="AW360" s="195"/>
      <c r="AX360" s="195"/>
      <c r="AY360" s="195"/>
      <c r="AZ360" s="195"/>
      <c r="BA360" s="194"/>
      <c r="BB360" s="195"/>
      <c r="BC360" s="195"/>
      <c r="BD360" s="195"/>
      <c r="BE360" s="195"/>
      <c r="BF360" s="194"/>
      <c r="BG360" s="195"/>
      <c r="BH360" s="195"/>
      <c r="BI360" s="195"/>
      <c r="BJ360" s="195"/>
      <c r="BK360" s="194"/>
      <c r="BL360" s="195"/>
      <c r="BM360" s="195"/>
      <c r="BN360" s="195"/>
      <c r="BO360" s="195"/>
      <c r="BP360" s="194"/>
      <c r="BQ360" s="195"/>
      <c r="BR360" s="195"/>
      <c r="BS360" s="195"/>
      <c r="BT360" s="120"/>
      <c r="BU360" s="119"/>
      <c r="BV360" s="120"/>
      <c r="BW360" s="120"/>
      <c r="BX360" s="120"/>
      <c r="BY360" s="189"/>
      <c r="BZ360" s="188"/>
      <c r="CA360" s="189"/>
      <c r="CB360" s="189"/>
      <c r="CC360" s="189"/>
      <c r="CD360" s="189"/>
      <c r="CE360" s="188"/>
      <c r="CF360" s="189"/>
      <c r="CG360" s="189"/>
      <c r="CH360" s="189"/>
      <c r="CI360" s="189"/>
      <c r="CJ360" s="140"/>
      <c r="CK360" s="189"/>
      <c r="CL360" s="189"/>
      <c r="CM360" s="189"/>
      <c r="CN360" s="189"/>
      <c r="CO360" s="749" t="s">
        <v>208</v>
      </c>
      <c r="CP360" s="772" t="s">
        <v>208</v>
      </c>
      <c r="CQ360" s="772" t="s">
        <v>208</v>
      </c>
      <c r="CR360" s="772" t="s">
        <v>208</v>
      </c>
      <c r="CS360" s="772" t="s">
        <v>208</v>
      </c>
      <c r="CT360" s="329">
        <f t="shared" ref="CT360:DF360" si="1558">(CT359-CO359)*100*100</f>
        <v>491.939324252759</v>
      </c>
      <c r="CU360" s="330">
        <f t="shared" si="1558"/>
        <v>385.993673253959</v>
      </c>
      <c r="CV360" s="330">
        <f t="shared" si="1558"/>
        <v>343.011135959148</v>
      </c>
      <c r="CW360" s="330">
        <f t="shared" si="1558"/>
        <v>381.802081588685</v>
      </c>
      <c r="CX360" s="330">
        <f t="shared" si="1558"/>
        <v>670.96426171866</v>
      </c>
      <c r="CY360" s="329">
        <f t="shared" si="1558"/>
        <v>460.747156929784</v>
      </c>
      <c r="CZ360" s="330">
        <f t="shared" si="1558"/>
        <v>-100.74517967059</v>
      </c>
      <c r="DA360" s="330">
        <f t="shared" si="1558"/>
        <v>-179.757014812527</v>
      </c>
      <c r="DB360" s="330">
        <f t="shared" si="1558"/>
        <v>72.631383170193</v>
      </c>
      <c r="DC360" s="330">
        <f t="shared" si="1558"/>
        <v>-207.881923009018</v>
      </c>
      <c r="DD360" s="329">
        <f t="shared" si="1558"/>
        <v>-114.318181070215</v>
      </c>
      <c r="DE360" s="330">
        <f t="shared" si="1558"/>
        <v>-337.320882751486</v>
      </c>
      <c r="DF360" s="330">
        <f t="shared" si="1558"/>
        <v>-203.998133678158</v>
      </c>
      <c r="DG360" s="189"/>
      <c r="DH360" s="189"/>
      <c r="DI360" s="223"/>
      <c r="DJ360" s="189"/>
      <c r="DK360" s="189"/>
      <c r="DL360" s="189"/>
      <c r="DM360" s="189"/>
      <c r="DN360" s="223"/>
      <c r="DO360" s="189"/>
      <c r="DP360" s="189"/>
      <c r="DQ360" s="189"/>
      <c r="DR360" s="189"/>
      <c r="DS360" s="223"/>
    </row>
    <row r="361" s="3" customFormat="1" hidden="1" outlineLevel="1" spans="2:123">
      <c r="B361" s="321"/>
      <c r="C361" s="322"/>
      <c r="D361" s="323"/>
      <c r="E361" s="323"/>
      <c r="F361" s="323"/>
      <c r="G361" s="323"/>
      <c r="H361" s="324"/>
      <c r="I361" s="323"/>
      <c r="J361" s="323"/>
      <c r="K361" s="323"/>
      <c r="L361" s="323"/>
      <c r="M361" s="324"/>
      <c r="N361" s="323"/>
      <c r="O361" s="323"/>
      <c r="P361" s="323"/>
      <c r="Q361" s="323"/>
      <c r="R361" s="324"/>
      <c r="S361" s="323"/>
      <c r="T361" s="323"/>
      <c r="U361" s="323"/>
      <c r="V361" s="323"/>
      <c r="W361" s="324"/>
      <c r="X361" s="323"/>
      <c r="Y361" s="323"/>
      <c r="Z361" s="325"/>
      <c r="AA361" s="325"/>
      <c r="AB361" s="324"/>
      <c r="AC361" s="325"/>
      <c r="AD361" s="325"/>
      <c r="AE361" s="325"/>
      <c r="AF361" s="325"/>
      <c r="AG361" s="326"/>
      <c r="AH361" s="325"/>
      <c r="AI361" s="325"/>
      <c r="AJ361" s="325"/>
      <c r="AK361" s="325"/>
      <c r="AL361" s="326"/>
      <c r="AM361" s="325"/>
      <c r="AN361" s="325"/>
      <c r="AO361" s="325"/>
      <c r="AP361" s="325"/>
      <c r="AQ361" s="326"/>
      <c r="AR361" s="325"/>
      <c r="AS361" s="325"/>
      <c r="AT361" s="325"/>
      <c r="AU361" s="325"/>
      <c r="AV361" s="326"/>
      <c r="AW361" s="325"/>
      <c r="AX361" s="325"/>
      <c r="AY361" s="325"/>
      <c r="AZ361" s="325"/>
      <c r="BA361" s="326"/>
      <c r="BB361" s="325"/>
      <c r="BC361" s="325"/>
      <c r="BD361" s="325"/>
      <c r="BE361" s="325"/>
      <c r="BF361" s="326"/>
      <c r="BG361" s="325"/>
      <c r="BH361" s="325"/>
      <c r="BI361" s="325"/>
      <c r="BJ361" s="325"/>
      <c r="BK361" s="326"/>
      <c r="BL361" s="325"/>
      <c r="BM361" s="325"/>
      <c r="BN361" s="325"/>
      <c r="BO361" s="325"/>
      <c r="BP361" s="326"/>
      <c r="BQ361" s="325"/>
      <c r="BR361" s="325"/>
      <c r="BS361" s="325"/>
      <c r="BT361" s="327"/>
      <c r="BU361" s="328"/>
      <c r="BV361" s="327"/>
      <c r="BW361" s="327"/>
      <c r="BX361" s="327"/>
      <c r="BY361" s="323"/>
      <c r="BZ361" s="324"/>
      <c r="CA361" s="323"/>
      <c r="CB361" s="323"/>
      <c r="CC361" s="323"/>
      <c r="CD361" s="323"/>
      <c r="CE361" s="324"/>
      <c r="CF361" s="323"/>
      <c r="CG361" s="323"/>
      <c r="CH361" s="323"/>
      <c r="CI361" s="323"/>
      <c r="CJ361" s="324"/>
      <c r="CK361" s="323"/>
      <c r="CL361" s="323"/>
      <c r="CM361" s="323"/>
      <c r="CN361" s="323"/>
      <c r="CO361" s="324"/>
      <c r="CP361" s="323"/>
      <c r="CQ361" s="323"/>
      <c r="CR361" s="323"/>
      <c r="CS361" s="323"/>
      <c r="CT361" s="324"/>
      <c r="CU361" s="323"/>
      <c r="CV361" s="323"/>
      <c r="CW361" s="323"/>
      <c r="CX361" s="323"/>
      <c r="CY361" s="324"/>
      <c r="CZ361" s="323"/>
      <c r="DA361" s="323"/>
      <c r="DB361" s="323"/>
      <c r="DC361" s="323"/>
      <c r="DD361" s="324"/>
      <c r="DE361" s="323"/>
      <c r="DF361" s="323"/>
      <c r="DG361" s="323"/>
      <c r="DH361" s="323"/>
      <c r="DI361" s="324"/>
      <c r="DJ361" s="323"/>
      <c r="DK361" s="323"/>
      <c r="DL361" s="323"/>
      <c r="DM361" s="323"/>
      <c r="DN361" s="188"/>
      <c r="DO361" s="189"/>
      <c r="DP361" s="323"/>
      <c r="DQ361" s="323"/>
      <c r="DR361" s="323"/>
      <c r="DS361" s="324"/>
    </row>
    <row r="362" s="3" customFormat="1" collapsed="1" spans="2:123">
      <c r="B362" s="184" t="s">
        <v>65</v>
      </c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  <c r="AB362" s="185"/>
      <c r="AC362" s="185"/>
      <c r="AD362" s="185"/>
      <c r="AE362" s="185"/>
      <c r="AF362" s="185"/>
      <c r="AG362" s="185"/>
      <c r="AH362" s="185"/>
      <c r="AI362" s="185"/>
      <c r="AJ362" s="185"/>
      <c r="AK362" s="185"/>
      <c r="AL362" s="185"/>
      <c r="AM362" s="185"/>
      <c r="AN362" s="185"/>
      <c r="AO362" s="185"/>
      <c r="AP362" s="185"/>
      <c r="AQ362" s="185"/>
      <c r="AR362" s="185"/>
      <c r="AS362" s="185"/>
      <c r="AT362" s="185"/>
      <c r="AU362" s="185"/>
      <c r="AV362" s="185"/>
      <c r="AW362" s="185"/>
      <c r="AX362" s="185"/>
      <c r="AY362" s="185"/>
      <c r="AZ362" s="185"/>
      <c r="BA362" s="185"/>
      <c r="BB362" s="185"/>
      <c r="BC362" s="185"/>
      <c r="BD362" s="185"/>
      <c r="BE362" s="185"/>
      <c r="BF362" s="185"/>
      <c r="BG362" s="185"/>
      <c r="BH362" s="185"/>
      <c r="BI362" s="185"/>
      <c r="BJ362" s="185"/>
      <c r="BK362" s="185"/>
      <c r="BL362" s="185"/>
      <c r="BM362" s="185"/>
      <c r="BN362" s="185"/>
      <c r="BO362" s="185"/>
      <c r="BP362" s="185"/>
      <c r="BQ362" s="185"/>
      <c r="BR362" s="185"/>
      <c r="BS362" s="185"/>
      <c r="BT362" s="185"/>
      <c r="BU362" s="185"/>
      <c r="BV362" s="185"/>
      <c r="BW362" s="185"/>
      <c r="BX362" s="185"/>
      <c r="BY362" s="185"/>
      <c r="BZ362" s="185"/>
      <c r="CA362" s="185"/>
      <c r="CB362" s="185"/>
      <c r="CC362" s="185"/>
      <c r="CD362" s="185"/>
      <c r="CE362" s="185"/>
      <c r="CF362" s="282"/>
      <c r="CG362" s="282"/>
      <c r="CH362" s="282"/>
      <c r="CI362" s="282"/>
      <c r="CJ362" s="185"/>
      <c r="CK362" s="282"/>
      <c r="CL362" s="282"/>
      <c r="CM362" s="282"/>
      <c r="CN362" s="282"/>
      <c r="CO362" s="185"/>
      <c r="CP362" s="282"/>
      <c r="CQ362" s="282"/>
      <c r="CR362" s="282"/>
      <c r="CS362" s="282"/>
      <c r="CT362" s="185"/>
      <c r="CU362" s="185"/>
      <c r="CV362" s="185"/>
      <c r="CW362" s="185"/>
      <c r="CX362" s="185"/>
      <c r="CY362" s="185"/>
      <c r="CZ362" s="185"/>
      <c r="DA362" s="185"/>
      <c r="DB362" s="185"/>
      <c r="DC362" s="185"/>
      <c r="DD362" s="185"/>
      <c r="DE362" s="185"/>
      <c r="DF362" s="185"/>
      <c r="DG362" s="185"/>
      <c r="DH362" s="185"/>
      <c r="DI362" s="185"/>
      <c r="DJ362" s="185"/>
      <c r="DK362" s="185"/>
      <c r="DL362" s="185"/>
      <c r="DM362" s="185"/>
      <c r="DN362" s="185"/>
      <c r="DO362" s="185"/>
      <c r="DP362" s="185"/>
      <c r="DQ362" s="185"/>
      <c r="DR362" s="185"/>
      <c r="DS362" s="186"/>
    </row>
    <row r="363" s="3" customFormat="1" spans="2:123">
      <c r="B363" s="123"/>
      <c r="C363" s="284"/>
      <c r="D363" s="189"/>
      <c r="E363" s="189"/>
      <c r="F363" s="189"/>
      <c r="G363" s="189"/>
      <c r="H363" s="188"/>
      <c r="I363" s="189"/>
      <c r="J363" s="189"/>
      <c r="K363" s="189"/>
      <c r="L363" s="189"/>
      <c r="M363" s="188"/>
      <c r="N363" s="189"/>
      <c r="O363" s="189"/>
      <c r="P363" s="189"/>
      <c r="Q363" s="189"/>
      <c r="R363" s="188"/>
      <c r="S363" s="189"/>
      <c r="T363" s="189"/>
      <c r="U363" s="189"/>
      <c r="V363" s="189"/>
      <c r="W363" s="188"/>
      <c r="X363" s="189"/>
      <c r="Y363" s="189"/>
      <c r="Z363" s="195"/>
      <c r="AA363" s="195"/>
      <c r="AB363" s="188"/>
      <c r="AC363" s="195"/>
      <c r="AD363" s="195"/>
      <c r="AE363" s="195"/>
      <c r="AF363" s="195"/>
      <c r="AG363" s="194"/>
      <c r="AH363" s="195"/>
      <c r="AI363" s="195"/>
      <c r="AJ363" s="195"/>
      <c r="AK363" s="195"/>
      <c r="AL363" s="194"/>
      <c r="AM363" s="195"/>
      <c r="AN363" s="195"/>
      <c r="AO363" s="195"/>
      <c r="AP363" s="195"/>
      <c r="AQ363" s="194"/>
      <c r="AR363" s="195"/>
      <c r="AS363" s="195"/>
      <c r="AT363" s="195"/>
      <c r="AU363" s="195"/>
      <c r="AV363" s="194"/>
      <c r="AW363" s="195"/>
      <c r="AX363" s="195"/>
      <c r="AY363" s="195"/>
      <c r="AZ363" s="195"/>
      <c r="BA363" s="194"/>
      <c r="BB363" s="195"/>
      <c r="BC363" s="195"/>
      <c r="BD363" s="195"/>
      <c r="BE363" s="195"/>
      <c r="BF363" s="194"/>
      <c r="BG363" s="195"/>
      <c r="BH363" s="195"/>
      <c r="BI363" s="195"/>
      <c r="BJ363" s="195"/>
      <c r="BK363" s="194"/>
      <c r="BL363" s="195"/>
      <c r="BM363" s="195"/>
      <c r="BN363" s="195"/>
      <c r="BO363" s="195"/>
      <c r="BP363" s="194"/>
      <c r="BQ363" s="195"/>
      <c r="BR363" s="195"/>
      <c r="BS363" s="195"/>
      <c r="BT363" s="120"/>
      <c r="BU363" s="119"/>
      <c r="BV363" s="120"/>
      <c r="BW363" s="120"/>
      <c r="BX363" s="120"/>
      <c r="BY363" s="189"/>
      <c r="BZ363" s="188"/>
      <c r="CA363" s="189"/>
      <c r="CB363" s="189"/>
      <c r="CC363" s="189"/>
      <c r="CD363" s="189"/>
      <c r="CE363" s="188"/>
      <c r="CF363" s="189"/>
      <c r="CG363" s="189"/>
      <c r="CH363" s="189"/>
      <c r="CI363" s="189"/>
      <c r="CJ363" s="183"/>
      <c r="CK363" s="189"/>
      <c r="CL363" s="189"/>
      <c r="CM363" s="189"/>
      <c r="CN363" s="189"/>
      <c r="CO363" s="183"/>
      <c r="CP363" s="182"/>
      <c r="CQ363" s="182"/>
      <c r="CR363" s="182"/>
      <c r="CS363" s="182"/>
      <c r="CT363" s="183"/>
      <c r="CU363" s="182"/>
      <c r="CV363" s="182"/>
      <c r="CW363" s="182"/>
      <c r="CX363" s="182"/>
      <c r="CY363" s="183"/>
      <c r="CZ363" s="120"/>
      <c r="DA363" s="182"/>
      <c r="DB363" s="189"/>
      <c r="DC363" s="189"/>
      <c r="DD363" s="188"/>
      <c r="DE363" s="189"/>
      <c r="DF363" s="189"/>
      <c r="DG363" s="189"/>
      <c r="DH363" s="189"/>
      <c r="DI363" s="188"/>
      <c r="DJ363" s="189"/>
      <c r="DK363" s="189"/>
      <c r="DL363" s="189"/>
      <c r="DM363" s="189"/>
      <c r="DN363" s="188"/>
      <c r="DO363" s="189"/>
      <c r="DP363" s="189"/>
      <c r="DQ363" s="189"/>
      <c r="DR363" s="189"/>
      <c r="DS363" s="188"/>
    </row>
    <row r="364" s="89" customFormat="1" hidden="1" outlineLevel="1" spans="2:123">
      <c r="B364" s="179" t="s">
        <v>429</v>
      </c>
      <c r="C364" s="337"/>
      <c r="D364" s="132"/>
      <c r="E364" s="132"/>
      <c r="F364" s="132"/>
      <c r="G364" s="132"/>
      <c r="H364" s="131"/>
      <c r="I364" s="132"/>
      <c r="J364" s="132"/>
      <c r="K364" s="132"/>
      <c r="L364" s="132"/>
      <c r="M364" s="131"/>
      <c r="N364" s="132"/>
      <c r="O364" s="132"/>
      <c r="P364" s="132"/>
      <c r="Q364" s="132"/>
      <c r="R364" s="131"/>
      <c r="S364" s="132"/>
      <c r="T364" s="132"/>
      <c r="U364" s="132"/>
      <c r="V364" s="132"/>
      <c r="W364" s="131"/>
      <c r="X364" s="132"/>
      <c r="Y364" s="132"/>
      <c r="Z364" s="132"/>
      <c r="AA364" s="132"/>
      <c r="AB364" s="131"/>
      <c r="AC364" s="132"/>
      <c r="AD364" s="132"/>
      <c r="AE364" s="132"/>
      <c r="AF364" s="132"/>
      <c r="AG364" s="131"/>
      <c r="AH364" s="132"/>
      <c r="AI364" s="132"/>
      <c r="AJ364" s="132"/>
      <c r="AK364" s="132"/>
      <c r="AL364" s="131"/>
      <c r="AM364" s="132"/>
      <c r="AN364" s="132"/>
      <c r="AO364" s="132"/>
      <c r="AP364" s="132"/>
      <c r="AQ364" s="131"/>
      <c r="AR364" s="132"/>
      <c r="AS364" s="132"/>
      <c r="AT364" s="132"/>
      <c r="AU364" s="132"/>
      <c r="AV364" s="131"/>
      <c r="AW364" s="132"/>
      <c r="AX364" s="132"/>
      <c r="AY364" s="132"/>
      <c r="AZ364" s="132"/>
      <c r="BA364" s="131"/>
      <c r="BB364" s="132"/>
      <c r="BC364" s="132"/>
      <c r="BD364" s="132"/>
      <c r="BE364" s="132"/>
      <c r="BF364" s="131"/>
      <c r="BG364" s="132"/>
      <c r="BH364" s="132"/>
      <c r="BI364" s="132"/>
      <c r="BJ364" s="132"/>
      <c r="BK364" s="131"/>
      <c r="BL364" s="132"/>
      <c r="BM364" s="132"/>
      <c r="BN364" s="132"/>
      <c r="BO364" s="132"/>
      <c r="BP364" s="131"/>
      <c r="BQ364" s="132"/>
      <c r="BR364" s="132"/>
      <c r="BS364" s="132"/>
      <c r="BT364" s="125"/>
      <c r="BU364" s="124"/>
      <c r="BV364" s="125"/>
      <c r="BW364" s="125"/>
      <c r="BX364" s="125"/>
      <c r="BY364" s="132"/>
      <c r="BZ364" s="131"/>
      <c r="CA364" s="132"/>
      <c r="CB364" s="132"/>
      <c r="CC364" s="132"/>
      <c r="CD364" s="132"/>
      <c r="CE364" s="131"/>
      <c r="CF364" s="132"/>
      <c r="CG364" s="132"/>
      <c r="CH364" s="132"/>
      <c r="CI364" s="132"/>
      <c r="CJ364" s="124"/>
      <c r="CK364" s="132"/>
      <c r="CL364" s="132"/>
      <c r="CM364" s="132"/>
      <c r="CN364" s="132"/>
      <c r="CO364" s="127">
        <f>-62.928-209.365+62.928</f>
        <v>-209.365</v>
      </c>
      <c r="CP364" s="748" t="s">
        <v>208</v>
      </c>
      <c r="CQ364" s="748" t="s">
        <v>208</v>
      </c>
      <c r="CR364" s="748" t="s">
        <v>208</v>
      </c>
      <c r="CS364" s="748" t="s">
        <v>208</v>
      </c>
      <c r="CT364" s="127">
        <f>-23.709-241.531+23.709</f>
        <v>-241.531</v>
      </c>
      <c r="CU364" s="126">
        <v>-60.352</v>
      </c>
      <c r="CV364" s="126">
        <v>-54.158</v>
      </c>
      <c r="CW364" s="126">
        <v>-57.888</v>
      </c>
      <c r="CX364" s="126">
        <f>CY364-CU364-CV364-CW364</f>
        <v>-61.915</v>
      </c>
      <c r="CY364" s="127">
        <v>-234.313</v>
      </c>
      <c r="CZ364" s="126">
        <v>-69.244</v>
      </c>
      <c r="DA364" s="126">
        <v>-59.147</v>
      </c>
      <c r="DB364" s="126">
        <v>-55.802</v>
      </c>
      <c r="DC364" s="126">
        <f>DD364-CZ364-DA364-DB364</f>
        <v>-54.788</v>
      </c>
      <c r="DD364" s="127">
        <v>-238.981</v>
      </c>
      <c r="DE364" s="126">
        <v>-66.803</v>
      </c>
      <c r="DF364" s="126">
        <v>-53.2</v>
      </c>
      <c r="DG364" s="126"/>
      <c r="DH364" s="126"/>
      <c r="DI364" s="127"/>
      <c r="DJ364" s="126"/>
      <c r="DK364" s="126"/>
      <c r="DL364" s="126"/>
      <c r="DM364" s="126"/>
      <c r="DN364" s="127"/>
      <c r="DO364" s="126"/>
      <c r="DP364" s="126"/>
      <c r="DQ364" s="126"/>
      <c r="DR364" s="126"/>
      <c r="DS364" s="127"/>
    </row>
    <row r="365" s="87" customFormat="1" hidden="1" outlineLevel="1" spans="2:123">
      <c r="B365" s="373" t="s">
        <v>370</v>
      </c>
      <c r="C365" s="310"/>
      <c r="D365" s="141"/>
      <c r="E365" s="141"/>
      <c r="F365" s="141"/>
      <c r="G365" s="141"/>
      <c r="H365" s="140"/>
      <c r="I365" s="141"/>
      <c r="J365" s="141"/>
      <c r="K365" s="141"/>
      <c r="L365" s="141"/>
      <c r="M365" s="140"/>
      <c r="N365" s="141"/>
      <c r="O365" s="141"/>
      <c r="P365" s="141"/>
      <c r="Q365" s="141"/>
      <c r="R365" s="140"/>
      <c r="S365" s="141"/>
      <c r="T365" s="141"/>
      <c r="U365" s="141"/>
      <c r="V365" s="141"/>
      <c r="W365" s="140"/>
      <c r="X365" s="141"/>
      <c r="Y365" s="141"/>
      <c r="Z365" s="141"/>
      <c r="AA365" s="141"/>
      <c r="AB365" s="140"/>
      <c r="AC365" s="141"/>
      <c r="AD365" s="141"/>
      <c r="AE365" s="141"/>
      <c r="AF365" s="141"/>
      <c r="AG365" s="140"/>
      <c r="AH365" s="141"/>
      <c r="AI365" s="141"/>
      <c r="AJ365" s="141"/>
      <c r="AK365" s="141"/>
      <c r="AL365" s="140"/>
      <c r="AM365" s="141"/>
      <c r="AN365" s="141"/>
      <c r="AO365" s="141"/>
      <c r="AP365" s="141"/>
      <c r="AQ365" s="140"/>
      <c r="AR365" s="141"/>
      <c r="AS365" s="141"/>
      <c r="AT365" s="141"/>
      <c r="AU365" s="141"/>
      <c r="AV365" s="140"/>
      <c r="AW365" s="141"/>
      <c r="AX365" s="141"/>
      <c r="AY365" s="141"/>
      <c r="AZ365" s="141"/>
      <c r="BA365" s="140"/>
      <c r="BB365" s="141"/>
      <c r="BC365" s="141"/>
      <c r="BD365" s="141"/>
      <c r="BE365" s="141"/>
      <c r="BF365" s="140"/>
      <c r="BG365" s="141"/>
      <c r="BH365" s="141"/>
      <c r="BI365" s="141"/>
      <c r="BJ365" s="141"/>
      <c r="BK365" s="140"/>
      <c r="BL365" s="141"/>
      <c r="BM365" s="141"/>
      <c r="BN365" s="141"/>
      <c r="BO365" s="141"/>
      <c r="BP365" s="140"/>
      <c r="BQ365" s="141"/>
      <c r="BR365" s="141"/>
      <c r="BS365" s="141"/>
      <c r="BT365" s="141"/>
      <c r="BU365" s="140"/>
      <c r="BV365" s="141"/>
      <c r="BW365" s="141"/>
      <c r="BX365" s="141"/>
      <c r="BY365" s="141"/>
      <c r="BZ365" s="140"/>
      <c r="CA365" s="141"/>
      <c r="CB365" s="141"/>
      <c r="CC365" s="141"/>
      <c r="CD365" s="141"/>
      <c r="CE365" s="140"/>
      <c r="CF365" s="141"/>
      <c r="CG365" s="141"/>
      <c r="CH365" s="141"/>
      <c r="CI365" s="141"/>
      <c r="CJ365" s="140"/>
      <c r="CK365" s="141"/>
      <c r="CL365" s="141"/>
      <c r="CM365" s="141"/>
      <c r="CN365" s="141"/>
      <c r="CO365" s="140" t="s">
        <v>208</v>
      </c>
      <c r="CP365" s="748" t="s">
        <v>208</v>
      </c>
      <c r="CQ365" s="748" t="s">
        <v>208</v>
      </c>
      <c r="CR365" s="748" t="s">
        <v>208</v>
      </c>
      <c r="CS365" s="748" t="s">
        <v>208</v>
      </c>
      <c r="CT365" s="140">
        <f t="shared" ref="CT365" si="1559">CT364/CO364-1</f>
        <v>0.153635994554964</v>
      </c>
      <c r="CU365" s="748" t="s">
        <v>208</v>
      </c>
      <c r="CV365" s="748" t="s">
        <v>208</v>
      </c>
      <c r="CW365" s="748" t="s">
        <v>208</v>
      </c>
      <c r="CX365" s="748" t="s">
        <v>208</v>
      </c>
      <c r="CY365" s="140">
        <f t="shared" ref="CY365" si="1560">CY364/CT364-1</f>
        <v>-0.0298843626698023</v>
      </c>
      <c r="CZ365" s="141">
        <f t="shared" ref="CZ365" si="1561">CZ364/CU364-1</f>
        <v>0.147335630965005</v>
      </c>
      <c r="DA365" s="141">
        <f t="shared" ref="DA365" si="1562">DA364/CV364-1</f>
        <v>0.0921193544813323</v>
      </c>
      <c r="DB365" s="141">
        <f t="shared" ref="DB365:DC365" si="1563">DB364/CW364-1</f>
        <v>-0.0360351022664456</v>
      </c>
      <c r="DC365" s="310">
        <f t="shared" si="1563"/>
        <v>-0.115109424210611</v>
      </c>
      <c r="DD365" s="140">
        <f t="shared" ref="DD365:DF365" si="1564">DD364/CY364-1</f>
        <v>0.0199220700515976</v>
      </c>
      <c r="DE365" s="141">
        <f t="shared" si="1564"/>
        <v>-0.0352521518109873</v>
      </c>
      <c r="DF365" s="141">
        <f t="shared" si="1564"/>
        <v>-0.100546097012528</v>
      </c>
      <c r="DG365" s="213"/>
      <c r="DH365" s="213"/>
      <c r="DI365" s="140"/>
      <c r="DJ365" s="213"/>
      <c r="DK365" s="213"/>
      <c r="DL365" s="213"/>
      <c r="DM365" s="213"/>
      <c r="DN365" s="140"/>
      <c r="DO365" s="213"/>
      <c r="DP365" s="213"/>
      <c r="DQ365" s="213"/>
      <c r="DR365" s="213"/>
      <c r="DS365" s="140"/>
    </row>
    <row r="366" s="87" customFormat="1" hidden="1" outlineLevel="1" spans="2:123">
      <c r="B366" s="373" t="s">
        <v>430</v>
      </c>
      <c r="C366" s="310"/>
      <c r="D366" s="141"/>
      <c r="E366" s="141"/>
      <c r="F366" s="141"/>
      <c r="G366" s="141"/>
      <c r="H366" s="140"/>
      <c r="I366" s="141"/>
      <c r="J366" s="141"/>
      <c r="K366" s="141"/>
      <c r="L366" s="141"/>
      <c r="M366" s="140"/>
      <c r="N366" s="141"/>
      <c r="O366" s="141"/>
      <c r="P366" s="141"/>
      <c r="Q366" s="141"/>
      <c r="R366" s="140"/>
      <c r="S366" s="141"/>
      <c r="T366" s="141"/>
      <c r="U366" s="141"/>
      <c r="V366" s="141"/>
      <c r="W366" s="140"/>
      <c r="X366" s="141"/>
      <c r="Y366" s="141"/>
      <c r="Z366" s="141"/>
      <c r="AA366" s="141"/>
      <c r="AB366" s="140"/>
      <c r="AC366" s="141"/>
      <c r="AD366" s="141"/>
      <c r="AE366" s="141"/>
      <c r="AF366" s="141"/>
      <c r="AG366" s="140"/>
      <c r="AH366" s="141"/>
      <c r="AI366" s="141"/>
      <c r="AJ366" s="141"/>
      <c r="AK366" s="141"/>
      <c r="AL366" s="140"/>
      <c r="AM366" s="141"/>
      <c r="AN366" s="141"/>
      <c r="AO366" s="141"/>
      <c r="AP366" s="141"/>
      <c r="AQ366" s="140"/>
      <c r="AR366" s="141"/>
      <c r="AS366" s="141"/>
      <c r="AT366" s="141"/>
      <c r="AU366" s="141"/>
      <c r="AV366" s="140"/>
      <c r="AW366" s="141"/>
      <c r="AX366" s="141"/>
      <c r="AY366" s="141"/>
      <c r="AZ366" s="141"/>
      <c r="BA366" s="140"/>
      <c r="BB366" s="141"/>
      <c r="BC366" s="141"/>
      <c r="BD366" s="141"/>
      <c r="BE366" s="141"/>
      <c r="BF366" s="140"/>
      <c r="BG366" s="141"/>
      <c r="BH366" s="141"/>
      <c r="BI366" s="141"/>
      <c r="BJ366" s="141"/>
      <c r="BK366" s="140"/>
      <c r="BL366" s="141"/>
      <c r="BM366" s="141"/>
      <c r="BN366" s="141"/>
      <c r="BO366" s="141"/>
      <c r="BP366" s="140"/>
      <c r="BQ366" s="141"/>
      <c r="BR366" s="141"/>
      <c r="BS366" s="141"/>
      <c r="BT366" s="141"/>
      <c r="BU366" s="140"/>
      <c r="BV366" s="141"/>
      <c r="BW366" s="141"/>
      <c r="BX366" s="141"/>
      <c r="BY366" s="141"/>
      <c r="BZ366" s="140"/>
      <c r="CA366" s="141"/>
      <c r="CB366" s="141"/>
      <c r="CC366" s="141"/>
      <c r="CD366" s="141"/>
      <c r="CE366" s="140"/>
      <c r="CF366" s="141"/>
      <c r="CG366" s="141"/>
      <c r="CH366" s="141"/>
      <c r="CI366" s="141"/>
      <c r="CJ366" s="140"/>
      <c r="CK366" s="141"/>
      <c r="CL366" s="141"/>
      <c r="CM366" s="141"/>
      <c r="CN366" s="141"/>
      <c r="CO366" s="140">
        <f>-CO364/CO13</f>
        <v>0.0258140108930157</v>
      </c>
      <c r="CP366" s="748" t="s">
        <v>208</v>
      </c>
      <c r="CQ366" s="748" t="s">
        <v>208</v>
      </c>
      <c r="CR366" s="748" t="s">
        <v>208</v>
      </c>
      <c r="CS366" s="748" t="s">
        <v>208</v>
      </c>
      <c r="CT366" s="140">
        <f t="shared" ref="CT366:DF366" si="1565">-CT364/CT13</f>
        <v>0.0251090570414952</v>
      </c>
      <c r="CU366" s="141">
        <f t="shared" si="1565"/>
        <v>0.0273223078911544</v>
      </c>
      <c r="CV366" s="141">
        <f t="shared" si="1565"/>
        <v>0.0228410874716057</v>
      </c>
      <c r="CW366" s="141">
        <f t="shared" si="1565"/>
        <v>0.024153613779176</v>
      </c>
      <c r="CX366" s="141">
        <f t="shared" si="1565"/>
        <v>0.0171438602884067</v>
      </c>
      <c r="CY366" s="140">
        <f t="shared" si="1565"/>
        <v>0.0221297895397165</v>
      </c>
      <c r="CZ366" s="141">
        <f t="shared" si="1565"/>
        <v>0.0292087435566467</v>
      </c>
      <c r="DA366" s="141">
        <f t="shared" si="1565"/>
        <v>0.0234225229574148</v>
      </c>
      <c r="DB366" s="141">
        <f t="shared" si="1565"/>
        <v>0.0217473654673567</v>
      </c>
      <c r="DC366" s="310">
        <f t="shared" si="1565"/>
        <v>0.0150483368907007</v>
      </c>
      <c r="DD366" s="140">
        <f t="shared" si="1565"/>
        <v>0.0215247779799326</v>
      </c>
      <c r="DE366" s="141">
        <f t="shared" si="1565"/>
        <v>0.0270282080091341</v>
      </c>
      <c r="DF366" s="141">
        <f t="shared" si="1565"/>
        <v>0.0220232311971489</v>
      </c>
      <c r="DG366" s="141"/>
      <c r="DH366" s="141"/>
      <c r="DI366" s="140"/>
      <c r="DJ366" s="141"/>
      <c r="DK366" s="141"/>
      <c r="DL366" s="141"/>
      <c r="DM366" s="141"/>
      <c r="DN366" s="140"/>
      <c r="DO366" s="141"/>
      <c r="DP366" s="141"/>
      <c r="DQ366" s="141"/>
      <c r="DR366" s="141"/>
      <c r="DS366" s="140"/>
    </row>
    <row r="367" s="3" customFormat="1" collapsed="1" spans="2:123">
      <c r="B367" s="144" t="s">
        <v>379</v>
      </c>
      <c r="C367" s="284"/>
      <c r="D367" s="189"/>
      <c r="E367" s="189"/>
      <c r="F367" s="189"/>
      <c r="G367" s="189"/>
      <c r="H367" s="188"/>
      <c r="I367" s="189"/>
      <c r="J367" s="189"/>
      <c r="K367" s="189"/>
      <c r="L367" s="189"/>
      <c r="M367" s="188"/>
      <c r="N367" s="189"/>
      <c r="O367" s="189"/>
      <c r="P367" s="189"/>
      <c r="Q367" s="189"/>
      <c r="R367" s="188"/>
      <c r="S367" s="189"/>
      <c r="T367" s="189"/>
      <c r="U367" s="189"/>
      <c r="V367" s="189"/>
      <c r="W367" s="188"/>
      <c r="X367" s="189"/>
      <c r="Y367" s="189"/>
      <c r="Z367" s="195"/>
      <c r="AA367" s="195"/>
      <c r="AB367" s="188"/>
      <c r="AC367" s="195"/>
      <c r="AD367" s="195"/>
      <c r="AE367" s="195"/>
      <c r="AF367" s="195"/>
      <c r="AG367" s="194"/>
      <c r="AH367" s="195"/>
      <c r="AI367" s="195"/>
      <c r="AJ367" s="195"/>
      <c r="AK367" s="195"/>
      <c r="AL367" s="194"/>
      <c r="AM367" s="195"/>
      <c r="AN367" s="195"/>
      <c r="AO367" s="195"/>
      <c r="AP367" s="195"/>
      <c r="AQ367" s="194"/>
      <c r="AR367" s="195"/>
      <c r="AS367" s="195"/>
      <c r="AT367" s="195"/>
      <c r="AU367" s="195"/>
      <c r="AV367" s="194"/>
      <c r="AW367" s="195"/>
      <c r="AX367" s="195"/>
      <c r="AY367" s="195"/>
      <c r="AZ367" s="195"/>
      <c r="BA367" s="194"/>
      <c r="BB367" s="195"/>
      <c r="BC367" s="195"/>
      <c r="BD367" s="195"/>
      <c r="BE367" s="195"/>
      <c r="BF367" s="194"/>
      <c r="BG367" s="195"/>
      <c r="BH367" s="195"/>
      <c r="BI367" s="195"/>
      <c r="BJ367" s="195"/>
      <c r="BK367" s="194"/>
      <c r="BL367" s="195"/>
      <c r="BM367" s="195"/>
      <c r="BN367" s="195"/>
      <c r="BO367" s="195"/>
      <c r="BP367" s="194"/>
      <c r="BQ367" s="195"/>
      <c r="BR367" s="195"/>
      <c r="BS367" s="195"/>
      <c r="BT367" s="120"/>
      <c r="BU367" s="119"/>
      <c r="BV367" s="120"/>
      <c r="BW367" s="120"/>
      <c r="BX367" s="120"/>
      <c r="BY367" s="189"/>
      <c r="BZ367" s="188"/>
      <c r="CA367" s="189"/>
      <c r="CB367" s="189"/>
      <c r="CC367" s="189"/>
      <c r="CD367" s="189"/>
      <c r="CE367" s="188"/>
      <c r="CF367" s="189"/>
      <c r="CG367" s="189"/>
      <c r="CH367" s="189"/>
      <c r="CI367" s="189"/>
      <c r="CJ367" s="140"/>
      <c r="CK367" s="189"/>
      <c r="CL367" s="189"/>
      <c r="CM367" s="189"/>
      <c r="CN367" s="189"/>
      <c r="CO367" s="749" t="s">
        <v>208</v>
      </c>
      <c r="CP367" s="748" t="s">
        <v>208</v>
      </c>
      <c r="CQ367" s="748" t="s">
        <v>208</v>
      </c>
      <c r="CR367" s="748" t="s">
        <v>208</v>
      </c>
      <c r="CS367" s="748" t="s">
        <v>208</v>
      </c>
      <c r="CT367" s="329">
        <f t="shared" ref="CT367" si="1566">(CT366-CO366)*100*100</f>
        <v>-7.04953851520498</v>
      </c>
      <c r="CU367" s="748" t="s">
        <v>208</v>
      </c>
      <c r="CV367" s="748" t="s">
        <v>208</v>
      </c>
      <c r="CW367" s="748" t="s">
        <v>208</v>
      </c>
      <c r="CX367" s="748" t="s">
        <v>208</v>
      </c>
      <c r="CY367" s="329">
        <f t="shared" ref="CY367" si="1567">(CY366-CT366)*100*100</f>
        <v>-29.7926750177875</v>
      </c>
      <c r="CZ367" s="330">
        <f t="shared" ref="CZ367" si="1568">(CZ366-CU366)*100*100</f>
        <v>18.8643566549225</v>
      </c>
      <c r="DA367" s="330">
        <f t="shared" ref="DA367" si="1569">(DA366-CV366)*100*100</f>
        <v>5.81435485809037</v>
      </c>
      <c r="DB367" s="330">
        <f t="shared" ref="DB367:DC367" si="1570">(DB366-CW366)*100*100</f>
        <v>-24.0624831181928</v>
      </c>
      <c r="DC367" s="333">
        <f t="shared" si="1570"/>
        <v>-20.9552339770601</v>
      </c>
      <c r="DD367" s="374">
        <f t="shared" ref="DD367:DF367" si="1571">(DD366-CY366)*100*100</f>
        <v>-6.05011559783843</v>
      </c>
      <c r="DE367" s="330">
        <f t="shared" si="1571"/>
        <v>-21.8053554751253</v>
      </c>
      <c r="DF367" s="330">
        <f t="shared" si="1571"/>
        <v>-13.9929176026587</v>
      </c>
      <c r="DG367" s="375"/>
      <c r="DH367" s="375"/>
      <c r="DI367" s="374"/>
      <c r="DJ367" s="375"/>
      <c r="DK367" s="375"/>
      <c r="DL367" s="375"/>
      <c r="DM367" s="375"/>
      <c r="DN367" s="374"/>
      <c r="DO367" s="375"/>
      <c r="DP367" s="375"/>
      <c r="DQ367" s="375"/>
      <c r="DR367" s="375"/>
      <c r="DS367" s="374"/>
    </row>
    <row r="368" s="89" customFormat="1" hidden="1" outlineLevel="1" spans="2:123">
      <c r="B368" s="179" t="s">
        <v>431</v>
      </c>
      <c r="C368" s="337"/>
      <c r="D368" s="132"/>
      <c r="E368" s="132"/>
      <c r="F368" s="132"/>
      <c r="G368" s="132"/>
      <c r="H368" s="131"/>
      <c r="I368" s="132"/>
      <c r="J368" s="132"/>
      <c r="K368" s="132"/>
      <c r="L368" s="132"/>
      <c r="M368" s="131"/>
      <c r="N368" s="132"/>
      <c r="O368" s="132"/>
      <c r="P368" s="132"/>
      <c r="Q368" s="132"/>
      <c r="R368" s="131"/>
      <c r="S368" s="132"/>
      <c r="T368" s="132"/>
      <c r="U368" s="132"/>
      <c r="V368" s="132"/>
      <c r="W368" s="131"/>
      <c r="X368" s="132"/>
      <c r="Y368" s="132"/>
      <c r="Z368" s="132"/>
      <c r="AA368" s="132"/>
      <c r="AB368" s="131"/>
      <c r="AC368" s="132"/>
      <c r="AD368" s="132"/>
      <c r="AE368" s="132"/>
      <c r="AF368" s="132"/>
      <c r="AG368" s="131"/>
      <c r="AH368" s="132"/>
      <c r="AI368" s="132"/>
      <c r="AJ368" s="132"/>
      <c r="AK368" s="132"/>
      <c r="AL368" s="131"/>
      <c r="AM368" s="132"/>
      <c r="AN368" s="132"/>
      <c r="AO368" s="132"/>
      <c r="AP368" s="132"/>
      <c r="AQ368" s="131"/>
      <c r="AR368" s="132"/>
      <c r="AS368" s="132"/>
      <c r="AT368" s="132"/>
      <c r="AU368" s="132"/>
      <c r="AV368" s="131"/>
      <c r="AW368" s="132"/>
      <c r="AX368" s="132"/>
      <c r="AY368" s="132"/>
      <c r="AZ368" s="132"/>
      <c r="BA368" s="131"/>
      <c r="BB368" s="132"/>
      <c r="BC368" s="132"/>
      <c r="BD368" s="132"/>
      <c r="BE368" s="132"/>
      <c r="BF368" s="131"/>
      <c r="BG368" s="132"/>
      <c r="BH368" s="132"/>
      <c r="BI368" s="132"/>
      <c r="BJ368" s="132"/>
      <c r="BK368" s="131"/>
      <c r="BL368" s="132"/>
      <c r="BM368" s="132"/>
      <c r="BN368" s="132"/>
      <c r="BO368" s="132"/>
      <c r="BP368" s="131"/>
      <c r="BQ368" s="132"/>
      <c r="BR368" s="132"/>
      <c r="BS368" s="132"/>
      <c r="BT368" s="125"/>
      <c r="BU368" s="124"/>
      <c r="BV368" s="125"/>
      <c r="BW368" s="125"/>
      <c r="BX368" s="125"/>
      <c r="BY368" s="132"/>
      <c r="BZ368" s="131"/>
      <c r="CA368" s="132"/>
      <c r="CB368" s="132"/>
      <c r="CC368" s="132"/>
      <c r="CD368" s="132"/>
      <c r="CE368" s="131"/>
      <c r="CF368" s="132"/>
      <c r="CG368" s="132"/>
      <c r="CH368" s="132"/>
      <c r="CI368" s="132"/>
      <c r="CJ368" s="124"/>
      <c r="CK368" s="132"/>
      <c r="CL368" s="132"/>
      <c r="CM368" s="132"/>
      <c r="CN368" s="132"/>
      <c r="CO368" s="127">
        <f>-796.623</f>
        <v>-796.623</v>
      </c>
      <c r="CP368" s="748" t="s">
        <v>208</v>
      </c>
      <c r="CQ368" s="748" t="s">
        <v>208</v>
      </c>
      <c r="CR368" s="748" t="s">
        <v>208</v>
      </c>
      <c r="CS368" s="748" t="s">
        <v>208</v>
      </c>
      <c r="CT368" s="127">
        <v>-998.905</v>
      </c>
      <c r="CU368" s="126">
        <v>-258.305</v>
      </c>
      <c r="CV368" s="126">
        <v>-268.128</v>
      </c>
      <c r="CW368" s="126">
        <v>-284.634</v>
      </c>
      <c r="CX368" s="126">
        <f>CY368-CU368-CV368-CW368</f>
        <v>-286.55</v>
      </c>
      <c r="CY368" s="127">
        <v>-1097.617</v>
      </c>
      <c r="CZ368" s="126">
        <v>-306.323</v>
      </c>
      <c r="DA368" s="126">
        <v>-268.436</v>
      </c>
      <c r="DB368" s="126">
        <v>-281.997</v>
      </c>
      <c r="DC368" s="126">
        <f>DD368-CZ368-DA368-DB368</f>
        <v>-294.369</v>
      </c>
      <c r="DD368" s="127">
        <v>-1151.125</v>
      </c>
      <c r="DE368" s="126">
        <v>-335.339</v>
      </c>
      <c r="DF368" s="126">
        <v>-311.91</v>
      </c>
      <c r="DG368" s="126"/>
      <c r="DH368" s="126"/>
      <c r="DI368" s="127"/>
      <c r="DJ368" s="126"/>
      <c r="DK368" s="126"/>
      <c r="DL368" s="126"/>
      <c r="DM368" s="126"/>
      <c r="DN368" s="127"/>
      <c r="DO368" s="126"/>
      <c r="DP368" s="126"/>
      <c r="DQ368" s="126"/>
      <c r="DR368" s="126"/>
      <c r="DS368" s="127"/>
    </row>
    <row r="369" s="87" customFormat="1" hidden="1" outlineLevel="1" spans="2:123">
      <c r="B369" s="373" t="s">
        <v>370</v>
      </c>
      <c r="C369" s="310"/>
      <c r="D369" s="141"/>
      <c r="E369" s="141"/>
      <c r="F369" s="141"/>
      <c r="G369" s="141"/>
      <c r="H369" s="140"/>
      <c r="I369" s="141"/>
      <c r="J369" s="141"/>
      <c r="K369" s="141"/>
      <c r="L369" s="141"/>
      <c r="M369" s="140"/>
      <c r="N369" s="141"/>
      <c r="O369" s="141"/>
      <c r="P369" s="141"/>
      <c r="Q369" s="141"/>
      <c r="R369" s="140"/>
      <c r="S369" s="141"/>
      <c r="T369" s="141"/>
      <c r="U369" s="141"/>
      <c r="V369" s="141"/>
      <c r="W369" s="140"/>
      <c r="X369" s="141"/>
      <c r="Y369" s="141"/>
      <c r="Z369" s="141"/>
      <c r="AA369" s="141"/>
      <c r="AB369" s="140"/>
      <c r="AC369" s="141"/>
      <c r="AD369" s="141"/>
      <c r="AE369" s="141"/>
      <c r="AF369" s="141"/>
      <c r="AG369" s="140"/>
      <c r="AH369" s="141"/>
      <c r="AI369" s="141"/>
      <c r="AJ369" s="141"/>
      <c r="AK369" s="141"/>
      <c r="AL369" s="140"/>
      <c r="AM369" s="141"/>
      <c r="AN369" s="141"/>
      <c r="AO369" s="141"/>
      <c r="AP369" s="141"/>
      <c r="AQ369" s="140"/>
      <c r="AR369" s="141"/>
      <c r="AS369" s="141"/>
      <c r="AT369" s="141"/>
      <c r="AU369" s="141"/>
      <c r="AV369" s="140"/>
      <c r="AW369" s="141"/>
      <c r="AX369" s="141"/>
      <c r="AY369" s="141"/>
      <c r="AZ369" s="141"/>
      <c r="BA369" s="140"/>
      <c r="BB369" s="141"/>
      <c r="BC369" s="141"/>
      <c r="BD369" s="141"/>
      <c r="BE369" s="141"/>
      <c r="BF369" s="140"/>
      <c r="BG369" s="141"/>
      <c r="BH369" s="141"/>
      <c r="BI369" s="141"/>
      <c r="BJ369" s="141"/>
      <c r="BK369" s="140"/>
      <c r="BL369" s="141"/>
      <c r="BM369" s="141"/>
      <c r="BN369" s="141"/>
      <c r="BO369" s="141"/>
      <c r="BP369" s="140"/>
      <c r="BQ369" s="141"/>
      <c r="BR369" s="141"/>
      <c r="BS369" s="141"/>
      <c r="BT369" s="141"/>
      <c r="BU369" s="140"/>
      <c r="BV369" s="141"/>
      <c r="BW369" s="141"/>
      <c r="BX369" s="141"/>
      <c r="BY369" s="141"/>
      <c r="BZ369" s="140"/>
      <c r="CA369" s="141"/>
      <c r="CB369" s="141"/>
      <c r="CC369" s="141"/>
      <c r="CD369" s="141"/>
      <c r="CE369" s="140"/>
      <c r="CF369" s="141"/>
      <c r="CG369" s="141"/>
      <c r="CH369" s="141"/>
      <c r="CI369" s="141"/>
      <c r="CJ369" s="140"/>
      <c r="CK369" s="141"/>
      <c r="CL369" s="141"/>
      <c r="CM369" s="141"/>
      <c r="CN369" s="141"/>
      <c r="CO369" s="140" t="s">
        <v>208</v>
      </c>
      <c r="CP369" s="748" t="s">
        <v>208</v>
      </c>
      <c r="CQ369" s="748" t="s">
        <v>208</v>
      </c>
      <c r="CR369" s="748" t="s">
        <v>208</v>
      </c>
      <c r="CS369" s="748" t="s">
        <v>208</v>
      </c>
      <c r="CT369" s="140">
        <f t="shared" ref="CT369" si="1572">CT368/CO368-1</f>
        <v>0.253924378281822</v>
      </c>
      <c r="CU369" s="748" t="s">
        <v>208</v>
      </c>
      <c r="CV369" s="748" t="s">
        <v>208</v>
      </c>
      <c r="CW369" s="748" t="s">
        <v>208</v>
      </c>
      <c r="CX369" s="748" t="s">
        <v>208</v>
      </c>
      <c r="CY369" s="140">
        <f t="shared" ref="CY369" si="1573">CY368/CT368-1</f>
        <v>0.0988202081278999</v>
      </c>
      <c r="CZ369" s="141">
        <f t="shared" ref="CZ369" si="1574">CZ368/CU368-1</f>
        <v>0.185896517682584</v>
      </c>
      <c r="DA369" s="141">
        <f t="shared" ref="DA369" si="1575">DA368/CV368-1</f>
        <v>0.00114870509607345</v>
      </c>
      <c r="DB369" s="141">
        <f t="shared" ref="DB369:DC369" si="1576">DB368/CW368-1</f>
        <v>-0.00926452918484788</v>
      </c>
      <c r="DC369" s="310">
        <f t="shared" si="1576"/>
        <v>0.0272866864421568</v>
      </c>
      <c r="DD369" s="140">
        <f t="shared" ref="DD369:DF369" si="1577">DD368/CY368-1</f>
        <v>0.0487492449552076</v>
      </c>
      <c r="DE369" s="141">
        <f t="shared" si="1577"/>
        <v>0.0947235434492351</v>
      </c>
      <c r="DF369" s="141">
        <f t="shared" si="1577"/>
        <v>0.161952942228315</v>
      </c>
      <c r="DG369" s="213"/>
      <c r="DH369" s="213"/>
      <c r="DI369" s="140"/>
      <c r="DJ369" s="213"/>
      <c r="DK369" s="213"/>
      <c r="DL369" s="213"/>
      <c r="DM369" s="213"/>
      <c r="DN369" s="140"/>
      <c r="DO369" s="213"/>
      <c r="DP369" s="213"/>
      <c r="DQ369" s="213"/>
      <c r="DR369" s="213"/>
      <c r="DS369" s="140"/>
    </row>
    <row r="370" s="87" customFormat="1" hidden="1" outlineLevel="1" spans="2:123">
      <c r="B370" s="373" t="s">
        <v>430</v>
      </c>
      <c r="C370" s="310"/>
      <c r="D370" s="141"/>
      <c r="E370" s="141"/>
      <c r="F370" s="141"/>
      <c r="G370" s="141"/>
      <c r="H370" s="140"/>
      <c r="I370" s="141"/>
      <c r="J370" s="141"/>
      <c r="K370" s="141"/>
      <c r="L370" s="141"/>
      <c r="M370" s="140"/>
      <c r="N370" s="141"/>
      <c r="O370" s="141"/>
      <c r="P370" s="141"/>
      <c r="Q370" s="141"/>
      <c r="R370" s="140"/>
      <c r="S370" s="141"/>
      <c r="T370" s="141"/>
      <c r="U370" s="141"/>
      <c r="V370" s="141"/>
      <c r="W370" s="140"/>
      <c r="X370" s="141"/>
      <c r="Y370" s="141"/>
      <c r="Z370" s="141"/>
      <c r="AA370" s="141"/>
      <c r="AB370" s="140"/>
      <c r="AC370" s="141"/>
      <c r="AD370" s="141"/>
      <c r="AE370" s="141"/>
      <c r="AF370" s="141"/>
      <c r="AG370" s="140"/>
      <c r="AH370" s="141"/>
      <c r="AI370" s="141"/>
      <c r="AJ370" s="141"/>
      <c r="AK370" s="141"/>
      <c r="AL370" s="140"/>
      <c r="AM370" s="141"/>
      <c r="AN370" s="141"/>
      <c r="AO370" s="141"/>
      <c r="AP370" s="141"/>
      <c r="AQ370" s="140"/>
      <c r="AR370" s="141"/>
      <c r="AS370" s="141"/>
      <c r="AT370" s="141"/>
      <c r="AU370" s="141"/>
      <c r="AV370" s="140"/>
      <c r="AW370" s="141"/>
      <c r="AX370" s="141"/>
      <c r="AY370" s="141"/>
      <c r="AZ370" s="141"/>
      <c r="BA370" s="140"/>
      <c r="BB370" s="141"/>
      <c r="BC370" s="141"/>
      <c r="BD370" s="141"/>
      <c r="BE370" s="141"/>
      <c r="BF370" s="140"/>
      <c r="BG370" s="141"/>
      <c r="BH370" s="141"/>
      <c r="BI370" s="141"/>
      <c r="BJ370" s="141"/>
      <c r="BK370" s="140"/>
      <c r="BL370" s="141"/>
      <c r="BM370" s="141"/>
      <c r="BN370" s="141"/>
      <c r="BO370" s="141"/>
      <c r="BP370" s="140"/>
      <c r="BQ370" s="141"/>
      <c r="BR370" s="141"/>
      <c r="BS370" s="141"/>
      <c r="BT370" s="141"/>
      <c r="BU370" s="140"/>
      <c r="BV370" s="141"/>
      <c r="BW370" s="141"/>
      <c r="BX370" s="141"/>
      <c r="BY370" s="141"/>
      <c r="BZ370" s="140"/>
      <c r="CA370" s="141"/>
      <c r="CB370" s="141"/>
      <c r="CC370" s="141"/>
      <c r="CD370" s="141"/>
      <c r="CE370" s="140"/>
      <c r="CF370" s="141"/>
      <c r="CG370" s="141"/>
      <c r="CH370" s="141"/>
      <c r="CI370" s="141"/>
      <c r="CJ370" s="140"/>
      <c r="CK370" s="141"/>
      <c r="CL370" s="141"/>
      <c r="CM370" s="141"/>
      <c r="CN370" s="141"/>
      <c r="CO370" s="140">
        <f>-CO368/CO13</f>
        <v>0.098220976761287</v>
      </c>
      <c r="CP370" s="748" t="s">
        <v>208</v>
      </c>
      <c r="CQ370" s="748" t="s">
        <v>208</v>
      </c>
      <c r="CR370" s="748" t="s">
        <v>208</v>
      </c>
      <c r="CS370" s="748" t="s">
        <v>208</v>
      </c>
      <c r="CT370" s="140">
        <f t="shared" ref="CT370:DF370" si="1578">-CT368/CT13</f>
        <v>0.103844072289001</v>
      </c>
      <c r="CU370" s="141">
        <f t="shared" si="1578"/>
        <v>0.116938771537391</v>
      </c>
      <c r="CV370" s="141">
        <f t="shared" si="1578"/>
        <v>0.113082741267896</v>
      </c>
      <c r="CW370" s="141">
        <f t="shared" si="1578"/>
        <v>0.118762778199661</v>
      </c>
      <c r="CX370" s="141">
        <f t="shared" si="1578"/>
        <v>0.0793438288886852</v>
      </c>
      <c r="CY370" s="140">
        <f t="shared" si="1578"/>
        <v>0.10366489782989</v>
      </c>
      <c r="CZ370" s="141">
        <f t="shared" si="1578"/>
        <v>0.129214227261606</v>
      </c>
      <c r="DA370" s="141">
        <f t="shared" si="1578"/>
        <v>0.106302067266245</v>
      </c>
      <c r="DB370" s="141">
        <f t="shared" si="1578"/>
        <v>0.109900932219243</v>
      </c>
      <c r="DC370" s="310">
        <f t="shared" si="1578"/>
        <v>0.0808528123344286</v>
      </c>
      <c r="DD370" s="140">
        <f t="shared" si="1578"/>
        <v>0.103680669392755</v>
      </c>
      <c r="DE370" s="141">
        <f t="shared" si="1578"/>
        <v>0.135676724781447</v>
      </c>
      <c r="DF370" s="141">
        <f t="shared" si="1578"/>
        <v>0.129121542156066</v>
      </c>
      <c r="DG370" s="141"/>
      <c r="DH370" s="141"/>
      <c r="DI370" s="140"/>
      <c r="DJ370" s="141"/>
      <c r="DK370" s="141"/>
      <c r="DL370" s="141"/>
      <c r="DM370" s="141"/>
      <c r="DN370" s="140"/>
      <c r="DO370" s="141"/>
      <c r="DP370" s="141"/>
      <c r="DQ370" s="141"/>
      <c r="DR370" s="141"/>
      <c r="DS370" s="140"/>
    </row>
    <row r="371" s="3" customFormat="1" collapsed="1" spans="2:123">
      <c r="B371" s="144" t="s">
        <v>379</v>
      </c>
      <c r="C371" s="284"/>
      <c r="D371" s="189"/>
      <c r="E371" s="189"/>
      <c r="F371" s="189"/>
      <c r="G371" s="189"/>
      <c r="H371" s="188"/>
      <c r="I371" s="189"/>
      <c r="J371" s="189"/>
      <c r="K371" s="189"/>
      <c r="L371" s="189"/>
      <c r="M371" s="188"/>
      <c r="N371" s="189"/>
      <c r="O371" s="189"/>
      <c r="P371" s="189"/>
      <c r="Q371" s="189"/>
      <c r="R371" s="188"/>
      <c r="S371" s="189"/>
      <c r="T371" s="189"/>
      <c r="U371" s="189"/>
      <c r="V371" s="189"/>
      <c r="W371" s="188"/>
      <c r="X371" s="189"/>
      <c r="Y371" s="189"/>
      <c r="Z371" s="195"/>
      <c r="AA371" s="195"/>
      <c r="AB371" s="188"/>
      <c r="AC371" s="195"/>
      <c r="AD371" s="195"/>
      <c r="AE371" s="195"/>
      <c r="AF371" s="195"/>
      <c r="AG371" s="194"/>
      <c r="AH371" s="195"/>
      <c r="AI371" s="195"/>
      <c r="AJ371" s="195"/>
      <c r="AK371" s="195"/>
      <c r="AL371" s="194"/>
      <c r="AM371" s="195"/>
      <c r="AN371" s="195"/>
      <c r="AO371" s="195"/>
      <c r="AP371" s="195"/>
      <c r="AQ371" s="194"/>
      <c r="AR371" s="195"/>
      <c r="AS371" s="195"/>
      <c r="AT371" s="195"/>
      <c r="AU371" s="195"/>
      <c r="AV371" s="194"/>
      <c r="AW371" s="195"/>
      <c r="AX371" s="195"/>
      <c r="AY371" s="195"/>
      <c r="AZ371" s="195"/>
      <c r="BA371" s="194"/>
      <c r="BB371" s="195"/>
      <c r="BC371" s="195"/>
      <c r="BD371" s="195"/>
      <c r="BE371" s="195"/>
      <c r="BF371" s="194"/>
      <c r="BG371" s="195"/>
      <c r="BH371" s="195"/>
      <c r="BI371" s="195"/>
      <c r="BJ371" s="195"/>
      <c r="BK371" s="194"/>
      <c r="BL371" s="195"/>
      <c r="BM371" s="195"/>
      <c r="BN371" s="195"/>
      <c r="BO371" s="195"/>
      <c r="BP371" s="194"/>
      <c r="BQ371" s="195"/>
      <c r="BR371" s="195"/>
      <c r="BS371" s="195"/>
      <c r="BT371" s="120"/>
      <c r="BU371" s="119"/>
      <c r="BV371" s="120"/>
      <c r="BW371" s="120"/>
      <c r="BX371" s="120"/>
      <c r="BY371" s="189"/>
      <c r="BZ371" s="188"/>
      <c r="CA371" s="189"/>
      <c r="CB371" s="189"/>
      <c r="CC371" s="189"/>
      <c r="CD371" s="189"/>
      <c r="CE371" s="188"/>
      <c r="CF371" s="189"/>
      <c r="CG371" s="189"/>
      <c r="CH371" s="189"/>
      <c r="CI371" s="189"/>
      <c r="CJ371" s="140"/>
      <c r="CK371" s="189"/>
      <c r="CL371" s="189"/>
      <c r="CM371" s="189"/>
      <c r="CN371" s="189"/>
      <c r="CO371" s="749" t="s">
        <v>208</v>
      </c>
      <c r="CP371" s="748" t="s">
        <v>208</v>
      </c>
      <c r="CQ371" s="748" t="s">
        <v>208</v>
      </c>
      <c r="CR371" s="748" t="s">
        <v>208</v>
      </c>
      <c r="CS371" s="748" t="s">
        <v>208</v>
      </c>
      <c r="CT371" s="329">
        <f t="shared" ref="CT371" si="1579">(CT370-CO370)*100*100</f>
        <v>56.2309552771431</v>
      </c>
      <c r="CU371" s="748" t="s">
        <v>208</v>
      </c>
      <c r="CV371" s="748" t="s">
        <v>208</v>
      </c>
      <c r="CW371" s="748" t="s">
        <v>208</v>
      </c>
      <c r="CX371" s="748" t="s">
        <v>208</v>
      </c>
      <c r="CY371" s="329">
        <f t="shared" ref="CY371" si="1580">(CY370-CT370)*100*100</f>
        <v>-1.79174459111517</v>
      </c>
      <c r="CZ371" s="330">
        <f t="shared" ref="CZ371" si="1581">(CZ370-CU370)*100*100</f>
        <v>122.754557242151</v>
      </c>
      <c r="DA371" s="330">
        <f t="shared" ref="DA371" si="1582">(DA370-CV370)*100*100</f>
        <v>-67.8067400165085</v>
      </c>
      <c r="DB371" s="330">
        <f t="shared" ref="DB371:DC371" si="1583">(DB370-CW370)*100*100</f>
        <v>-88.6184598041818</v>
      </c>
      <c r="DC371" s="333">
        <f t="shared" si="1583"/>
        <v>15.0898344574338</v>
      </c>
      <c r="DD371" s="329">
        <f t="shared" ref="DD371:DF371" si="1584">(DD370-CY370)*100*100</f>
        <v>0.157715628650301</v>
      </c>
      <c r="DE371" s="330">
        <f t="shared" si="1584"/>
        <v>64.6249751984102</v>
      </c>
      <c r="DF371" s="330">
        <f t="shared" si="1584"/>
        <v>228.194748898211</v>
      </c>
      <c r="DG371" s="375"/>
      <c r="DH371" s="375"/>
      <c r="DI371" s="329"/>
      <c r="DJ371" s="375"/>
      <c r="DK371" s="375"/>
      <c r="DL371" s="375"/>
      <c r="DM371" s="375"/>
      <c r="DN371" s="329"/>
      <c r="DO371" s="375"/>
      <c r="DP371" s="375"/>
      <c r="DQ371" s="375"/>
      <c r="DR371" s="375"/>
      <c r="DS371" s="329"/>
    </row>
    <row r="372" s="89" customFormat="1" hidden="1" outlineLevel="1" spans="2:123">
      <c r="B372" s="179" t="s">
        <v>432</v>
      </c>
      <c r="C372" s="337"/>
      <c r="D372" s="132"/>
      <c r="E372" s="132"/>
      <c r="F372" s="132"/>
      <c r="G372" s="132"/>
      <c r="H372" s="131"/>
      <c r="I372" s="132"/>
      <c r="J372" s="132"/>
      <c r="K372" s="132"/>
      <c r="L372" s="132"/>
      <c r="M372" s="131"/>
      <c r="N372" s="132"/>
      <c r="O372" s="132"/>
      <c r="P372" s="132"/>
      <c r="Q372" s="132"/>
      <c r="R372" s="131"/>
      <c r="S372" s="132"/>
      <c r="T372" s="132"/>
      <c r="U372" s="132"/>
      <c r="V372" s="132"/>
      <c r="W372" s="131"/>
      <c r="X372" s="132"/>
      <c r="Y372" s="132"/>
      <c r="Z372" s="132"/>
      <c r="AA372" s="132"/>
      <c r="AB372" s="131"/>
      <c r="AC372" s="132"/>
      <c r="AD372" s="132"/>
      <c r="AE372" s="132"/>
      <c r="AF372" s="132"/>
      <c r="AG372" s="131"/>
      <c r="AH372" s="132"/>
      <c r="AI372" s="132"/>
      <c r="AJ372" s="132"/>
      <c r="AK372" s="132"/>
      <c r="AL372" s="131"/>
      <c r="AM372" s="132"/>
      <c r="AN372" s="132"/>
      <c r="AO372" s="132"/>
      <c r="AP372" s="132"/>
      <c r="AQ372" s="131"/>
      <c r="AR372" s="132"/>
      <c r="AS372" s="132"/>
      <c r="AT372" s="132"/>
      <c r="AU372" s="132"/>
      <c r="AV372" s="131"/>
      <c r="AW372" s="132"/>
      <c r="AX372" s="132"/>
      <c r="AY372" s="132"/>
      <c r="AZ372" s="132"/>
      <c r="BA372" s="131"/>
      <c r="BB372" s="132"/>
      <c r="BC372" s="132"/>
      <c r="BD372" s="132"/>
      <c r="BE372" s="132"/>
      <c r="BF372" s="131"/>
      <c r="BG372" s="132"/>
      <c r="BH372" s="132"/>
      <c r="BI372" s="132"/>
      <c r="BJ372" s="132"/>
      <c r="BK372" s="131"/>
      <c r="BL372" s="132"/>
      <c r="BM372" s="132"/>
      <c r="BN372" s="132"/>
      <c r="BO372" s="132"/>
      <c r="BP372" s="131"/>
      <c r="BQ372" s="132"/>
      <c r="BR372" s="132"/>
      <c r="BS372" s="132"/>
      <c r="BT372" s="125"/>
      <c r="BU372" s="124"/>
      <c r="BV372" s="125"/>
      <c r="BW372" s="125"/>
      <c r="BX372" s="125"/>
      <c r="BY372" s="132"/>
      <c r="BZ372" s="131"/>
      <c r="CA372" s="132"/>
      <c r="CB372" s="132"/>
      <c r="CC372" s="132"/>
      <c r="CD372" s="132"/>
      <c r="CE372" s="131"/>
      <c r="CF372" s="132"/>
      <c r="CG372" s="132"/>
      <c r="CH372" s="132"/>
      <c r="CI372" s="132"/>
      <c r="CJ372" s="124"/>
      <c r="CK372" s="132"/>
      <c r="CL372" s="132"/>
      <c r="CM372" s="132"/>
      <c r="CN372" s="132"/>
      <c r="CO372" s="127">
        <f>-8.752+10.18-407.913-10.18+362.492+40.585+4.836</f>
        <v>-8.752</v>
      </c>
      <c r="CP372" s="776" t="s">
        <v>208</v>
      </c>
      <c r="CQ372" s="776" t="s">
        <v>208</v>
      </c>
      <c r="CR372" s="776" t="s">
        <v>208</v>
      </c>
      <c r="CS372" s="776" t="s">
        <v>208</v>
      </c>
      <c r="CT372" s="127">
        <f>-74.501-5.01+44.186+30.315</f>
        <v>-5.01000000000001</v>
      </c>
      <c r="CU372" s="126">
        <f>'2. Consolidated'!CU52</f>
        <v>0</v>
      </c>
      <c r="CV372" s="126">
        <f>'2. Consolidated'!CV52</f>
        <v>0</v>
      </c>
      <c r="CW372" s="126">
        <f>'2. Consolidated'!CW52</f>
        <v>-1.118</v>
      </c>
      <c r="CX372" s="126">
        <f>'2. Consolidated'!CX52</f>
        <v>-1.617</v>
      </c>
      <c r="CY372" s="127">
        <f>CU372+CV372+CW372+CX372</f>
        <v>-2.735</v>
      </c>
      <c r="CZ372" s="126">
        <f>'2. Consolidated'!CZ52</f>
        <v>-1.63</v>
      </c>
      <c r="DA372" s="126">
        <f>'2. Consolidated'!DA52</f>
        <v>-1.73</v>
      </c>
      <c r="DB372" s="126">
        <f>'2. Consolidated'!DB52</f>
        <v>-1.776</v>
      </c>
      <c r="DC372" s="372">
        <f>'2. Consolidated'!DC52</f>
        <v>-1.825</v>
      </c>
      <c r="DD372" s="127">
        <f>CZ372+DA372+DB372+DC372</f>
        <v>-6.961</v>
      </c>
      <c r="DE372" s="126">
        <f>'2. Consolidated'!DE52</f>
        <v>-1.884</v>
      </c>
      <c r="DF372" s="126">
        <f>'2. Consolidated'!DF52</f>
        <v>-1.893</v>
      </c>
      <c r="DG372" s="126"/>
      <c r="DH372" s="126"/>
      <c r="DI372" s="127"/>
      <c r="DJ372" s="126"/>
      <c r="DK372" s="126"/>
      <c r="DL372" s="126"/>
      <c r="DM372" s="126"/>
      <c r="DN372" s="127"/>
      <c r="DO372" s="126"/>
      <c r="DP372" s="126"/>
      <c r="DQ372" s="126"/>
      <c r="DR372" s="126"/>
      <c r="DS372" s="127"/>
    </row>
    <row r="373" s="89" customFormat="1" collapsed="1" spans="2:123">
      <c r="B373" s="175" t="s">
        <v>433</v>
      </c>
      <c r="C373" s="337"/>
      <c r="D373" s="132"/>
      <c r="E373" s="132"/>
      <c r="F373" s="132"/>
      <c r="G373" s="132"/>
      <c r="H373" s="131"/>
      <c r="I373" s="132"/>
      <c r="J373" s="132"/>
      <c r="K373" s="132"/>
      <c r="L373" s="132"/>
      <c r="M373" s="131"/>
      <c r="N373" s="132"/>
      <c r="O373" s="132"/>
      <c r="P373" s="132"/>
      <c r="Q373" s="132"/>
      <c r="R373" s="131"/>
      <c r="S373" s="132"/>
      <c r="T373" s="132"/>
      <c r="U373" s="132"/>
      <c r="V373" s="132"/>
      <c r="W373" s="131"/>
      <c r="X373" s="132"/>
      <c r="Y373" s="132"/>
      <c r="Z373" s="132"/>
      <c r="AA373" s="132"/>
      <c r="AB373" s="131"/>
      <c r="AC373" s="132"/>
      <c r="AD373" s="132"/>
      <c r="AE373" s="132"/>
      <c r="AF373" s="132"/>
      <c r="AG373" s="131"/>
      <c r="AH373" s="132"/>
      <c r="AI373" s="132"/>
      <c r="AJ373" s="132"/>
      <c r="AK373" s="132"/>
      <c r="AL373" s="131"/>
      <c r="AM373" s="132"/>
      <c r="AN373" s="132"/>
      <c r="AO373" s="132"/>
      <c r="AP373" s="132"/>
      <c r="AQ373" s="131"/>
      <c r="AR373" s="132"/>
      <c r="AS373" s="132"/>
      <c r="AT373" s="132"/>
      <c r="AU373" s="132"/>
      <c r="AV373" s="131"/>
      <c r="AW373" s="132"/>
      <c r="AX373" s="132"/>
      <c r="AY373" s="132"/>
      <c r="AZ373" s="132"/>
      <c r="BA373" s="131"/>
      <c r="BB373" s="132"/>
      <c r="BC373" s="132"/>
      <c r="BD373" s="132"/>
      <c r="BE373" s="132"/>
      <c r="BF373" s="131"/>
      <c r="BG373" s="132"/>
      <c r="BH373" s="132"/>
      <c r="BI373" s="132"/>
      <c r="BJ373" s="132"/>
      <c r="BK373" s="131"/>
      <c r="BL373" s="132"/>
      <c r="BM373" s="132"/>
      <c r="BN373" s="132"/>
      <c r="BO373" s="132"/>
      <c r="BP373" s="131"/>
      <c r="BQ373" s="132"/>
      <c r="BR373" s="132"/>
      <c r="BS373" s="132"/>
      <c r="BT373" s="125"/>
      <c r="BU373" s="124"/>
      <c r="BV373" s="125"/>
      <c r="BW373" s="125"/>
      <c r="BX373" s="125"/>
      <c r="BY373" s="132"/>
      <c r="BZ373" s="131"/>
      <c r="CA373" s="132"/>
      <c r="CB373" s="132"/>
      <c r="CC373" s="132"/>
      <c r="CD373" s="132"/>
      <c r="CE373" s="131"/>
      <c r="CF373" s="132"/>
      <c r="CG373" s="132"/>
      <c r="CH373" s="132"/>
      <c r="CI373" s="132"/>
      <c r="CJ373" s="131"/>
      <c r="CK373" s="132"/>
      <c r="CL373" s="132"/>
      <c r="CM373" s="132"/>
      <c r="CN373" s="132"/>
      <c r="CO373" s="134">
        <f>CO364+CO368+CO372</f>
        <v>-1014.74</v>
      </c>
      <c r="CP373" s="133">
        <f>-295.609-1.878</f>
        <v>-297.487</v>
      </c>
      <c r="CQ373" s="133">
        <f>-314.207-1.879</f>
        <v>-316.086</v>
      </c>
      <c r="CR373" s="133">
        <f>-321.48-23.709-74.501+44.186+30.315+23.709-1.253</f>
        <v>-322.733</v>
      </c>
      <c r="CS373" s="133">
        <f>CT373-CP373-CQ373-CR373</f>
        <v>-309.14</v>
      </c>
      <c r="CT373" s="134">
        <f>CT364+CT368+CT372</f>
        <v>-1245.446</v>
      </c>
      <c r="CU373" s="133">
        <f>CU364+CU368+CU372</f>
        <v>-318.657</v>
      </c>
      <c r="CV373" s="133">
        <f>CV364+CV368+CV372</f>
        <v>-322.286</v>
      </c>
      <c r="CW373" s="133">
        <f>CW364+CW368+CW372</f>
        <v>-343.64</v>
      </c>
      <c r="CX373" s="133">
        <f>CY373-CU373-CV373-CW373</f>
        <v>-350.082</v>
      </c>
      <c r="CY373" s="134">
        <f>CY364+CY368+CY372</f>
        <v>-1334.665</v>
      </c>
      <c r="CZ373" s="133">
        <f>CZ364+CZ368+CZ372</f>
        <v>-377.197</v>
      </c>
      <c r="DA373" s="133">
        <f>DA364+DA368+DA372</f>
        <v>-329.313</v>
      </c>
      <c r="DB373" s="133">
        <f>DB364+DB368+DB372</f>
        <v>-339.575</v>
      </c>
      <c r="DC373" s="296">
        <f>DC364+DC368+DC372</f>
        <v>-350.982</v>
      </c>
      <c r="DD373" s="134">
        <f>CZ373+DA373+DB373+DC373</f>
        <v>-1397.067</v>
      </c>
      <c r="DE373" s="133">
        <f>DE364+DE368+DE372</f>
        <v>-404.026</v>
      </c>
      <c r="DF373" s="133">
        <f>DF364+DF368+DF372</f>
        <v>-367.003</v>
      </c>
      <c r="DG373" s="133"/>
      <c r="DH373" s="133"/>
      <c r="DI373" s="134"/>
      <c r="DJ373" s="133"/>
      <c r="DK373" s="133"/>
      <c r="DL373" s="133"/>
      <c r="DM373" s="133"/>
      <c r="DN373" s="134"/>
      <c r="DO373" s="133"/>
      <c r="DP373" s="133"/>
      <c r="DQ373" s="133"/>
      <c r="DR373" s="133"/>
      <c r="DS373" s="134"/>
    </row>
    <row r="374" s="3" customFormat="1" spans="2:123">
      <c r="B374" s="144" t="s">
        <v>370</v>
      </c>
      <c r="C374" s="284"/>
      <c r="D374" s="189"/>
      <c r="E374" s="189"/>
      <c r="F374" s="189"/>
      <c r="G374" s="189"/>
      <c r="H374" s="188"/>
      <c r="I374" s="189"/>
      <c r="J374" s="189"/>
      <c r="K374" s="189"/>
      <c r="L374" s="189"/>
      <c r="M374" s="188"/>
      <c r="N374" s="189"/>
      <c r="O374" s="189"/>
      <c r="P374" s="189"/>
      <c r="Q374" s="189"/>
      <c r="R374" s="188"/>
      <c r="S374" s="189"/>
      <c r="T374" s="189"/>
      <c r="U374" s="189"/>
      <c r="V374" s="189"/>
      <c r="W374" s="188"/>
      <c r="X374" s="189"/>
      <c r="Y374" s="189"/>
      <c r="Z374" s="195"/>
      <c r="AA374" s="195"/>
      <c r="AB374" s="188"/>
      <c r="AC374" s="195"/>
      <c r="AD374" s="195"/>
      <c r="AE374" s="195"/>
      <c r="AF374" s="195"/>
      <c r="AG374" s="194"/>
      <c r="AH374" s="195"/>
      <c r="AI374" s="195"/>
      <c r="AJ374" s="195"/>
      <c r="AK374" s="195"/>
      <c r="AL374" s="194"/>
      <c r="AM374" s="195"/>
      <c r="AN374" s="195"/>
      <c r="AO374" s="195"/>
      <c r="AP374" s="195"/>
      <c r="AQ374" s="194"/>
      <c r="AR374" s="195"/>
      <c r="AS374" s="195"/>
      <c r="AT374" s="195"/>
      <c r="AU374" s="195"/>
      <c r="AV374" s="194"/>
      <c r="AW374" s="195"/>
      <c r="AX374" s="195"/>
      <c r="AY374" s="195"/>
      <c r="AZ374" s="195"/>
      <c r="BA374" s="194"/>
      <c r="BB374" s="195"/>
      <c r="BC374" s="195"/>
      <c r="BD374" s="195"/>
      <c r="BE374" s="195"/>
      <c r="BF374" s="194"/>
      <c r="BG374" s="195"/>
      <c r="BH374" s="195"/>
      <c r="BI374" s="195"/>
      <c r="BJ374" s="195"/>
      <c r="BK374" s="194"/>
      <c r="BL374" s="195"/>
      <c r="BM374" s="195"/>
      <c r="BN374" s="195"/>
      <c r="BO374" s="195"/>
      <c r="BP374" s="194"/>
      <c r="BQ374" s="195"/>
      <c r="BR374" s="195"/>
      <c r="BS374" s="195"/>
      <c r="BT374" s="120"/>
      <c r="BU374" s="119"/>
      <c r="BV374" s="120"/>
      <c r="BW374" s="120"/>
      <c r="BX374" s="120"/>
      <c r="BY374" s="189"/>
      <c r="BZ374" s="188"/>
      <c r="CA374" s="189"/>
      <c r="CB374" s="189"/>
      <c r="CC374" s="189"/>
      <c r="CD374" s="189"/>
      <c r="CE374" s="188"/>
      <c r="CF374" s="189"/>
      <c r="CG374" s="189"/>
      <c r="CH374" s="189"/>
      <c r="CI374" s="189"/>
      <c r="CJ374" s="140"/>
      <c r="CK374" s="189"/>
      <c r="CL374" s="189"/>
      <c r="CM374" s="189"/>
      <c r="CN374" s="189"/>
      <c r="CO374" s="749" t="s">
        <v>208</v>
      </c>
      <c r="CP374" s="748" t="s">
        <v>208</v>
      </c>
      <c r="CQ374" s="748" t="s">
        <v>208</v>
      </c>
      <c r="CR374" s="748" t="s">
        <v>208</v>
      </c>
      <c r="CS374" s="748" t="s">
        <v>208</v>
      </c>
      <c r="CT374" s="140">
        <f t="shared" ref="CT374:CY374" si="1585">CT373/CO373-1</f>
        <v>0.227354790389656</v>
      </c>
      <c r="CU374" s="291">
        <f t="shared" si="1585"/>
        <v>0.0711627734993463</v>
      </c>
      <c r="CV374" s="291">
        <f t="shared" si="1585"/>
        <v>0.0196149149282157</v>
      </c>
      <c r="CW374" s="291">
        <f t="shared" si="1585"/>
        <v>0.0647811038846351</v>
      </c>
      <c r="CX374" s="291">
        <f t="shared" si="1585"/>
        <v>0.132438377434172</v>
      </c>
      <c r="CY374" s="140">
        <f t="shared" si="1585"/>
        <v>0.0716361849490061</v>
      </c>
      <c r="CZ374" s="291">
        <f t="shared" ref="CZ374" si="1586">CZ373/CU373-1</f>
        <v>0.183708501617727</v>
      </c>
      <c r="DA374" s="291">
        <f t="shared" ref="DA374:DC374" si="1587">DA373/CV373-1</f>
        <v>0.0218036154223267</v>
      </c>
      <c r="DB374" s="291">
        <f t="shared" si="1587"/>
        <v>-0.0118292399022231</v>
      </c>
      <c r="DC374" s="310">
        <f t="shared" si="1587"/>
        <v>0.00257082626356175</v>
      </c>
      <c r="DD374" s="143">
        <f t="shared" ref="DD374:DF374" si="1588">DD373/CY373-1</f>
        <v>0.0467548036398648</v>
      </c>
      <c r="DE374" s="291">
        <f t="shared" si="1588"/>
        <v>0.0711272889232948</v>
      </c>
      <c r="DF374" s="291">
        <f t="shared" si="1588"/>
        <v>0.114450386106834</v>
      </c>
      <c r="DG374" s="142"/>
      <c r="DH374" s="142"/>
      <c r="DI374" s="143"/>
      <c r="DJ374" s="142"/>
      <c r="DK374" s="142"/>
      <c r="DL374" s="142"/>
      <c r="DM374" s="142"/>
      <c r="DN374" s="143"/>
      <c r="DO374" s="142"/>
      <c r="DP374" s="142"/>
      <c r="DQ374" s="142"/>
      <c r="DR374" s="142"/>
      <c r="DS374" s="143"/>
    </row>
    <row r="375" s="3" customFormat="1" spans="2:123">
      <c r="B375" s="144" t="s">
        <v>322</v>
      </c>
      <c r="C375" s="284"/>
      <c r="D375" s="189"/>
      <c r="E375" s="189"/>
      <c r="F375" s="189"/>
      <c r="G375" s="189"/>
      <c r="H375" s="188"/>
      <c r="I375" s="189"/>
      <c r="J375" s="189"/>
      <c r="K375" s="189"/>
      <c r="L375" s="189"/>
      <c r="M375" s="188"/>
      <c r="N375" s="189"/>
      <c r="O375" s="189"/>
      <c r="P375" s="189"/>
      <c r="Q375" s="189"/>
      <c r="R375" s="188"/>
      <c r="S375" s="189"/>
      <c r="T375" s="189"/>
      <c r="U375" s="189"/>
      <c r="V375" s="189"/>
      <c r="W375" s="188"/>
      <c r="X375" s="189"/>
      <c r="Y375" s="189"/>
      <c r="Z375" s="195"/>
      <c r="AA375" s="195"/>
      <c r="AB375" s="188"/>
      <c r="AC375" s="195"/>
      <c r="AD375" s="195"/>
      <c r="AE375" s="195"/>
      <c r="AF375" s="195"/>
      <c r="AG375" s="194"/>
      <c r="AH375" s="195"/>
      <c r="AI375" s="195"/>
      <c r="AJ375" s="195"/>
      <c r="AK375" s="195"/>
      <c r="AL375" s="194"/>
      <c r="AM375" s="195"/>
      <c r="AN375" s="195"/>
      <c r="AO375" s="195"/>
      <c r="AP375" s="195"/>
      <c r="AQ375" s="194"/>
      <c r="AR375" s="195"/>
      <c r="AS375" s="195"/>
      <c r="AT375" s="195"/>
      <c r="AU375" s="195"/>
      <c r="AV375" s="194"/>
      <c r="AW375" s="195"/>
      <c r="AX375" s="195"/>
      <c r="AY375" s="195"/>
      <c r="AZ375" s="195"/>
      <c r="BA375" s="194"/>
      <c r="BB375" s="195"/>
      <c r="BC375" s="195"/>
      <c r="BD375" s="195"/>
      <c r="BE375" s="195"/>
      <c r="BF375" s="194"/>
      <c r="BG375" s="195"/>
      <c r="BH375" s="195"/>
      <c r="BI375" s="195"/>
      <c r="BJ375" s="195"/>
      <c r="BK375" s="194"/>
      <c r="BL375" s="195"/>
      <c r="BM375" s="195"/>
      <c r="BN375" s="195"/>
      <c r="BO375" s="195"/>
      <c r="BP375" s="194"/>
      <c r="BQ375" s="195"/>
      <c r="BR375" s="195"/>
      <c r="BS375" s="195"/>
      <c r="BT375" s="120"/>
      <c r="BU375" s="119"/>
      <c r="BV375" s="120"/>
      <c r="BW375" s="120"/>
      <c r="BX375" s="120"/>
      <c r="BY375" s="189"/>
      <c r="BZ375" s="188"/>
      <c r="CA375" s="189"/>
      <c r="CB375" s="189"/>
      <c r="CC375" s="189"/>
      <c r="CD375" s="189"/>
      <c r="CE375" s="188"/>
      <c r="CF375" s="189"/>
      <c r="CG375" s="189"/>
      <c r="CH375" s="189"/>
      <c r="CI375" s="189"/>
      <c r="CJ375" s="140"/>
      <c r="CK375" s="189"/>
      <c r="CL375" s="189"/>
      <c r="CM375" s="189"/>
      <c r="CN375" s="189"/>
      <c r="CO375" s="140">
        <f t="shared" ref="CO375:DF375" si="1589">-CO373/CO13</f>
        <v>0.125114080259732</v>
      </c>
      <c r="CP375" s="291">
        <f t="shared" si="1589"/>
        <v>0.148684620890127</v>
      </c>
      <c r="CQ375" s="291">
        <f t="shared" si="1589"/>
        <v>0.143079398777366</v>
      </c>
      <c r="CR375" s="291">
        <f t="shared" si="1589"/>
        <v>0.14641609858916</v>
      </c>
      <c r="CS375" s="291">
        <f t="shared" si="1589"/>
        <v>0.0964524385019763</v>
      </c>
      <c r="CT375" s="140">
        <f t="shared" si="1589"/>
        <v>0.12947395844054</v>
      </c>
      <c r="CU375" s="291">
        <f t="shared" si="1589"/>
        <v>0.144261079428546</v>
      </c>
      <c r="CV375" s="291">
        <f t="shared" si="1589"/>
        <v>0.135923828739502</v>
      </c>
      <c r="CW375" s="291">
        <f t="shared" si="1589"/>
        <v>0.143382874500346</v>
      </c>
      <c r="CX375" s="291">
        <f t="shared" si="1589"/>
        <v>0.0969354259466365</v>
      </c>
      <c r="CY375" s="140">
        <f t="shared" si="1589"/>
        <v>0.126052995591477</v>
      </c>
      <c r="CZ375" s="291">
        <f t="shared" si="1589"/>
        <v>0.15911054305552</v>
      </c>
      <c r="DA375" s="291">
        <f t="shared" si="1589"/>
        <v>0.130409679318903</v>
      </c>
      <c r="DB375" s="291">
        <f t="shared" si="1589"/>
        <v>0.132340447091102</v>
      </c>
      <c r="DC375" s="310">
        <f t="shared" si="1589"/>
        <v>0.0964024125460304</v>
      </c>
      <c r="DD375" s="140">
        <f t="shared" si="1589"/>
        <v>0.125832417631906</v>
      </c>
      <c r="DE375" s="291">
        <f t="shared" si="1589"/>
        <v>0.163467191130614</v>
      </c>
      <c r="DF375" s="291">
        <f t="shared" si="1589"/>
        <v>0.151928419530963</v>
      </c>
      <c r="DG375" s="141"/>
      <c r="DH375" s="141"/>
      <c r="DI375" s="140"/>
      <c r="DJ375" s="141"/>
      <c r="DK375" s="141"/>
      <c r="DL375" s="141"/>
      <c r="DM375" s="141"/>
      <c r="DN375" s="140"/>
      <c r="DO375" s="141"/>
      <c r="DP375" s="141"/>
      <c r="DQ375" s="141"/>
      <c r="DR375" s="141"/>
      <c r="DS375" s="140"/>
    </row>
    <row r="376" s="3" customFormat="1" spans="2:123">
      <c r="B376" s="144" t="s">
        <v>379</v>
      </c>
      <c r="C376" s="284"/>
      <c r="D376" s="189"/>
      <c r="E376" s="189"/>
      <c r="F376" s="189"/>
      <c r="G376" s="189"/>
      <c r="H376" s="188"/>
      <c r="I376" s="189"/>
      <c r="J376" s="189"/>
      <c r="K376" s="189"/>
      <c r="L376" s="189"/>
      <c r="M376" s="188"/>
      <c r="N376" s="189"/>
      <c r="O376" s="189"/>
      <c r="P376" s="189"/>
      <c r="Q376" s="189"/>
      <c r="R376" s="188"/>
      <c r="S376" s="189"/>
      <c r="T376" s="189"/>
      <c r="U376" s="189"/>
      <c r="V376" s="189"/>
      <c r="W376" s="188"/>
      <c r="X376" s="189"/>
      <c r="Y376" s="189"/>
      <c r="Z376" s="195"/>
      <c r="AA376" s="195"/>
      <c r="AB376" s="188"/>
      <c r="AC376" s="195"/>
      <c r="AD376" s="195"/>
      <c r="AE376" s="195"/>
      <c r="AF376" s="195"/>
      <c r="AG376" s="194"/>
      <c r="AH376" s="195"/>
      <c r="AI376" s="195"/>
      <c r="AJ376" s="195"/>
      <c r="AK376" s="195"/>
      <c r="AL376" s="194"/>
      <c r="AM376" s="195"/>
      <c r="AN376" s="195"/>
      <c r="AO376" s="195"/>
      <c r="AP376" s="195"/>
      <c r="AQ376" s="194"/>
      <c r="AR376" s="195"/>
      <c r="AS376" s="195"/>
      <c r="AT376" s="195"/>
      <c r="AU376" s="195"/>
      <c r="AV376" s="194"/>
      <c r="AW376" s="195"/>
      <c r="AX376" s="195"/>
      <c r="AY376" s="195"/>
      <c r="AZ376" s="195"/>
      <c r="BA376" s="194"/>
      <c r="BB376" s="195"/>
      <c r="BC376" s="195"/>
      <c r="BD376" s="195"/>
      <c r="BE376" s="195"/>
      <c r="BF376" s="194"/>
      <c r="BG376" s="195"/>
      <c r="BH376" s="195"/>
      <c r="BI376" s="195"/>
      <c r="BJ376" s="195"/>
      <c r="BK376" s="194"/>
      <c r="BL376" s="195"/>
      <c r="BM376" s="195"/>
      <c r="BN376" s="195"/>
      <c r="BO376" s="195"/>
      <c r="BP376" s="194"/>
      <c r="BQ376" s="195"/>
      <c r="BR376" s="195"/>
      <c r="BS376" s="195"/>
      <c r="BT376" s="120"/>
      <c r="BU376" s="119"/>
      <c r="BV376" s="120"/>
      <c r="BW376" s="120"/>
      <c r="BX376" s="120"/>
      <c r="BY376" s="189"/>
      <c r="BZ376" s="188"/>
      <c r="CA376" s="189"/>
      <c r="CB376" s="189"/>
      <c r="CC376" s="189"/>
      <c r="CD376" s="189"/>
      <c r="CE376" s="188"/>
      <c r="CF376" s="189"/>
      <c r="CG376" s="189"/>
      <c r="CH376" s="189"/>
      <c r="CI376" s="189"/>
      <c r="CJ376" s="140"/>
      <c r="CK376" s="189"/>
      <c r="CL376" s="189"/>
      <c r="CM376" s="189"/>
      <c r="CN376" s="189"/>
      <c r="CO376" s="749" t="s">
        <v>208</v>
      </c>
      <c r="CP376" s="748" t="s">
        <v>208</v>
      </c>
      <c r="CQ376" s="748" t="s">
        <v>208</v>
      </c>
      <c r="CR376" s="748" t="s">
        <v>208</v>
      </c>
      <c r="CS376" s="748" t="s">
        <v>208</v>
      </c>
      <c r="CT376" s="329">
        <f t="shared" ref="CT376:CY376" si="1590">(CT375-CO375)*100*100</f>
        <v>43.5987818080805</v>
      </c>
      <c r="CU376" s="330">
        <f t="shared" si="1590"/>
        <v>-44.2354146158169</v>
      </c>
      <c r="CV376" s="330">
        <f t="shared" si="1590"/>
        <v>-71.5557003786449</v>
      </c>
      <c r="CW376" s="330">
        <f t="shared" si="1590"/>
        <v>-30.3322408881324</v>
      </c>
      <c r="CX376" s="330">
        <f t="shared" si="1590"/>
        <v>4.82987444660132</v>
      </c>
      <c r="CY376" s="329">
        <f t="shared" si="1590"/>
        <v>-34.2096284906324</v>
      </c>
      <c r="CZ376" s="330">
        <f t="shared" ref="CZ376" si="1591">(CZ375-CU375)*100*100</f>
        <v>148.494636269746</v>
      </c>
      <c r="DA376" s="330">
        <f t="shared" ref="DA376:DC376" si="1592">(DA375-CV375)*100*100</f>
        <v>-55.14149420599</v>
      </c>
      <c r="DB376" s="330">
        <f t="shared" si="1592"/>
        <v>-110.424274092444</v>
      </c>
      <c r="DC376" s="333">
        <f t="shared" si="1592"/>
        <v>-5.33013400606089</v>
      </c>
      <c r="DD376" s="374">
        <f t="shared" ref="DD376:DF376" si="1593">(DD375-CY375)*100*100</f>
        <v>-2.20577959570672</v>
      </c>
      <c r="DE376" s="330">
        <f t="shared" si="1593"/>
        <v>43.5664807509401</v>
      </c>
      <c r="DF376" s="330">
        <f t="shared" si="1593"/>
        <v>215.187402120605</v>
      </c>
      <c r="DG376" s="375"/>
      <c r="DH376" s="375"/>
      <c r="DI376" s="374"/>
      <c r="DJ376" s="375"/>
      <c r="DK376" s="375"/>
      <c r="DL376" s="375"/>
      <c r="DM376" s="375"/>
      <c r="DN376" s="374"/>
      <c r="DO376" s="375"/>
      <c r="DP376" s="375"/>
      <c r="DQ376" s="375"/>
      <c r="DR376" s="375"/>
      <c r="DS376" s="374"/>
    </row>
    <row r="377" s="3" customFormat="1" hidden="1" outlineLevel="1" spans="2:123">
      <c r="B377" s="130"/>
      <c r="C377" s="284"/>
      <c r="D377" s="189"/>
      <c r="E377" s="189"/>
      <c r="F377" s="189"/>
      <c r="G377" s="189"/>
      <c r="H377" s="188"/>
      <c r="I377" s="189"/>
      <c r="J377" s="189"/>
      <c r="K377" s="189"/>
      <c r="L377" s="189"/>
      <c r="M377" s="188"/>
      <c r="N377" s="189"/>
      <c r="O377" s="189"/>
      <c r="P377" s="189"/>
      <c r="Q377" s="189"/>
      <c r="R377" s="188"/>
      <c r="S377" s="189"/>
      <c r="T377" s="189"/>
      <c r="U377" s="189"/>
      <c r="V377" s="189"/>
      <c r="W377" s="188"/>
      <c r="X377" s="189"/>
      <c r="Y377" s="189"/>
      <c r="Z377" s="195"/>
      <c r="AA377" s="195"/>
      <c r="AB377" s="188"/>
      <c r="AC377" s="195"/>
      <c r="AD377" s="195"/>
      <c r="AE377" s="195"/>
      <c r="AF377" s="195"/>
      <c r="AG377" s="194"/>
      <c r="AH377" s="195"/>
      <c r="AI377" s="195"/>
      <c r="AJ377" s="195"/>
      <c r="AK377" s="195"/>
      <c r="AL377" s="194"/>
      <c r="AM377" s="195"/>
      <c r="AN377" s="195"/>
      <c r="AO377" s="195"/>
      <c r="AP377" s="195"/>
      <c r="AQ377" s="194"/>
      <c r="AR377" s="195"/>
      <c r="AS377" s="195"/>
      <c r="AT377" s="195"/>
      <c r="AU377" s="195"/>
      <c r="AV377" s="194"/>
      <c r="AW377" s="195"/>
      <c r="AX377" s="195"/>
      <c r="AY377" s="195"/>
      <c r="AZ377" s="195"/>
      <c r="BA377" s="194"/>
      <c r="BB377" s="195"/>
      <c r="BC377" s="195"/>
      <c r="BD377" s="195"/>
      <c r="BE377" s="195"/>
      <c r="BF377" s="194"/>
      <c r="BG377" s="195"/>
      <c r="BH377" s="195"/>
      <c r="BI377" s="195"/>
      <c r="BJ377" s="195"/>
      <c r="BK377" s="194"/>
      <c r="BL377" s="195"/>
      <c r="BM377" s="195"/>
      <c r="BN377" s="195"/>
      <c r="BO377" s="195"/>
      <c r="BP377" s="194"/>
      <c r="BQ377" s="195"/>
      <c r="BR377" s="195"/>
      <c r="BS377" s="195"/>
      <c r="BT377" s="120"/>
      <c r="BU377" s="119"/>
      <c r="BV377" s="120"/>
      <c r="BW377" s="120"/>
      <c r="BX377" s="120"/>
      <c r="BY377" s="189"/>
      <c r="BZ377" s="188"/>
      <c r="CA377" s="189"/>
      <c r="CB377" s="189"/>
      <c r="CC377" s="189"/>
      <c r="CD377" s="189"/>
      <c r="CE377" s="188"/>
      <c r="CF377" s="189"/>
      <c r="CG377" s="189"/>
      <c r="CH377" s="189"/>
      <c r="CI377" s="189"/>
      <c r="CJ377" s="188"/>
      <c r="CK377" s="189"/>
      <c r="CL377" s="189"/>
      <c r="CM377" s="189"/>
      <c r="CN377" s="189"/>
      <c r="CO377" s="238"/>
      <c r="CP377" s="239"/>
      <c r="CQ377" s="239"/>
      <c r="CR377" s="239"/>
      <c r="CS377" s="239"/>
      <c r="CT377" s="238"/>
      <c r="CU377" s="239"/>
      <c r="CV377" s="239"/>
      <c r="CW377" s="93"/>
      <c r="CX377" s="239"/>
      <c r="CY377" s="238"/>
      <c r="CZ377" s="239"/>
      <c r="DA377" s="239"/>
      <c r="DB377" s="239"/>
      <c r="DC377" s="239"/>
      <c r="DD377" s="238"/>
      <c r="DE377" s="239"/>
      <c r="DF377" s="239"/>
      <c r="DG377" s="189"/>
      <c r="DH377" s="189"/>
      <c r="DI377" s="188"/>
      <c r="DJ377" s="189"/>
      <c r="DK377" s="189"/>
      <c r="DL377" s="189"/>
      <c r="DM377" s="189"/>
      <c r="DN377" s="188"/>
      <c r="DO377" s="189"/>
      <c r="DP377" s="189"/>
      <c r="DQ377" s="189"/>
      <c r="DR377" s="189"/>
      <c r="DS377" s="188"/>
    </row>
    <row r="378" s="3" customFormat="1" hidden="1" outlineLevel="1" spans="2:123">
      <c r="B378" s="33" t="s">
        <v>434</v>
      </c>
      <c r="C378" s="284"/>
      <c r="D378" s="189"/>
      <c r="E378" s="189"/>
      <c r="F378" s="189"/>
      <c r="G378" s="189"/>
      <c r="H378" s="188"/>
      <c r="I378" s="189"/>
      <c r="J378" s="189"/>
      <c r="K378" s="189"/>
      <c r="L378" s="189"/>
      <c r="M378" s="188"/>
      <c r="N378" s="189"/>
      <c r="O378" s="189"/>
      <c r="P378" s="189"/>
      <c r="Q378" s="189"/>
      <c r="R378" s="188"/>
      <c r="S378" s="189"/>
      <c r="T378" s="189"/>
      <c r="U378" s="189"/>
      <c r="V378" s="189"/>
      <c r="W378" s="188"/>
      <c r="X378" s="189"/>
      <c r="Y378" s="189"/>
      <c r="Z378" s="195"/>
      <c r="AA378" s="195"/>
      <c r="AB378" s="188"/>
      <c r="AC378" s="195"/>
      <c r="AD378" s="195"/>
      <c r="AE378" s="195"/>
      <c r="AF378" s="195"/>
      <c r="AG378" s="194"/>
      <c r="AH378" s="195"/>
      <c r="AI378" s="195"/>
      <c r="AJ378" s="195"/>
      <c r="AK378" s="195"/>
      <c r="AL378" s="194"/>
      <c r="AM378" s="195"/>
      <c r="AN378" s="195"/>
      <c r="AO378" s="195"/>
      <c r="AP378" s="195"/>
      <c r="AQ378" s="194"/>
      <c r="AR378" s="195"/>
      <c r="AS378" s="195"/>
      <c r="AT378" s="195"/>
      <c r="AU378" s="195"/>
      <c r="AV378" s="194"/>
      <c r="AW378" s="195"/>
      <c r="AX378" s="195"/>
      <c r="AY378" s="195"/>
      <c r="AZ378" s="195"/>
      <c r="BA378" s="194"/>
      <c r="BB378" s="195"/>
      <c r="BC378" s="195"/>
      <c r="BD378" s="195"/>
      <c r="BE378" s="195"/>
      <c r="BF378" s="194"/>
      <c r="BG378" s="195"/>
      <c r="BH378" s="195"/>
      <c r="BI378" s="195"/>
      <c r="BJ378" s="195"/>
      <c r="BK378" s="194"/>
      <c r="BL378" s="195"/>
      <c r="BM378" s="195"/>
      <c r="BN378" s="195"/>
      <c r="BO378" s="195"/>
      <c r="BP378" s="194"/>
      <c r="BQ378" s="195"/>
      <c r="BR378" s="195"/>
      <c r="BS378" s="195"/>
      <c r="BT378" s="120"/>
      <c r="BU378" s="119"/>
      <c r="BV378" s="120"/>
      <c r="BW378" s="120"/>
      <c r="BX378" s="120"/>
      <c r="BY378" s="189"/>
      <c r="BZ378" s="188"/>
      <c r="CA378" s="189"/>
      <c r="CB378" s="189"/>
      <c r="CC378" s="189"/>
      <c r="CD378" s="189"/>
      <c r="CE378" s="188"/>
      <c r="CF378" s="189"/>
      <c r="CG378" s="189"/>
      <c r="CH378" s="189"/>
      <c r="CI378" s="189"/>
      <c r="CJ378" s="183"/>
      <c r="CK378" s="189"/>
      <c r="CL378" s="189"/>
      <c r="CM378" s="189"/>
      <c r="CN378" s="189"/>
      <c r="CO378" s="376">
        <v>117.343</v>
      </c>
      <c r="CP378" s="293">
        <v>37.717</v>
      </c>
      <c r="CQ378" s="293">
        <v>37.946</v>
      </c>
      <c r="CR378" s="293">
        <v>40.463</v>
      </c>
      <c r="CS378" s="293">
        <f>CT378-CP378-CQ378-CR378</f>
        <v>43.451</v>
      </c>
      <c r="CT378" s="376">
        <v>159.577</v>
      </c>
      <c r="CU378" s="293">
        <v>36.902</v>
      </c>
      <c r="CV378" s="293">
        <v>40.58</v>
      </c>
      <c r="CW378" s="293">
        <v>45.586</v>
      </c>
      <c r="CX378" s="293">
        <f>CY378-CU378-CV378-CW378</f>
        <v>54.456</v>
      </c>
      <c r="CY378" s="376">
        <v>177.524</v>
      </c>
      <c r="CZ378" s="217">
        <v>45.8</v>
      </c>
      <c r="DA378" s="293">
        <v>47.771</v>
      </c>
      <c r="DB378" s="293">
        <v>50.433</v>
      </c>
      <c r="DC378" s="293">
        <f>DD378-CZ378-DA378-DB378</f>
        <v>52.757</v>
      </c>
      <c r="DD378" s="376">
        <v>196.761</v>
      </c>
      <c r="DE378" s="293">
        <v>50.553</v>
      </c>
      <c r="DF378" s="293">
        <v>54.339</v>
      </c>
      <c r="DG378" s="189"/>
      <c r="DH378" s="189"/>
      <c r="DI378" s="188"/>
      <c r="DJ378" s="189"/>
      <c r="DK378" s="189"/>
      <c r="DL378" s="189"/>
      <c r="DM378" s="189"/>
      <c r="DN378" s="188"/>
      <c r="DO378" s="189"/>
      <c r="DP378" s="189"/>
      <c r="DQ378" s="189"/>
      <c r="DR378" s="189"/>
      <c r="DS378" s="188"/>
    </row>
    <row r="379" s="3" customFormat="1" collapsed="1" spans="2:123">
      <c r="B379" s="321"/>
      <c r="C379" s="322"/>
      <c r="D379" s="323"/>
      <c r="E379" s="323"/>
      <c r="F379" s="323"/>
      <c r="G379" s="323"/>
      <c r="H379" s="324"/>
      <c r="I379" s="323"/>
      <c r="J379" s="323"/>
      <c r="K379" s="323"/>
      <c r="L379" s="323"/>
      <c r="M379" s="324"/>
      <c r="N379" s="323"/>
      <c r="O379" s="323"/>
      <c r="P379" s="323"/>
      <c r="Q379" s="323"/>
      <c r="R379" s="324"/>
      <c r="S379" s="323"/>
      <c r="T379" s="323"/>
      <c r="U379" s="323"/>
      <c r="V379" s="323"/>
      <c r="W379" s="324"/>
      <c r="X379" s="323"/>
      <c r="Y379" s="323"/>
      <c r="Z379" s="325"/>
      <c r="AA379" s="325"/>
      <c r="AB379" s="324"/>
      <c r="AC379" s="325"/>
      <c r="AD379" s="325"/>
      <c r="AE379" s="325"/>
      <c r="AF379" s="325"/>
      <c r="AG379" s="326"/>
      <c r="AH379" s="325"/>
      <c r="AI379" s="325"/>
      <c r="AJ379" s="325"/>
      <c r="AK379" s="325"/>
      <c r="AL379" s="326"/>
      <c r="AM379" s="325"/>
      <c r="AN379" s="325"/>
      <c r="AO379" s="325"/>
      <c r="AP379" s="325"/>
      <c r="AQ379" s="326"/>
      <c r="AR379" s="325"/>
      <c r="AS379" s="325"/>
      <c r="AT379" s="325"/>
      <c r="AU379" s="325"/>
      <c r="AV379" s="326"/>
      <c r="AW379" s="325"/>
      <c r="AX379" s="325"/>
      <c r="AY379" s="325"/>
      <c r="AZ379" s="325"/>
      <c r="BA379" s="326"/>
      <c r="BB379" s="325"/>
      <c r="BC379" s="325"/>
      <c r="BD379" s="325"/>
      <c r="BE379" s="325"/>
      <c r="BF379" s="326"/>
      <c r="BG379" s="325"/>
      <c r="BH379" s="325"/>
      <c r="BI379" s="325"/>
      <c r="BJ379" s="325"/>
      <c r="BK379" s="326"/>
      <c r="BL379" s="325"/>
      <c r="BM379" s="325"/>
      <c r="BN379" s="325"/>
      <c r="BO379" s="325"/>
      <c r="BP379" s="326"/>
      <c r="BQ379" s="325"/>
      <c r="BR379" s="325"/>
      <c r="BS379" s="325"/>
      <c r="BT379" s="327"/>
      <c r="BU379" s="328"/>
      <c r="BV379" s="327"/>
      <c r="BW379" s="327"/>
      <c r="BX379" s="327"/>
      <c r="BY379" s="323"/>
      <c r="BZ379" s="324"/>
      <c r="CA379" s="323"/>
      <c r="CB379" s="323"/>
      <c r="CC379" s="323"/>
      <c r="CD379" s="323"/>
      <c r="CE379" s="324"/>
      <c r="CF379" s="323"/>
      <c r="CG379" s="323"/>
      <c r="CH379" s="323"/>
      <c r="CI379" s="323"/>
      <c r="CJ379" s="324"/>
      <c r="CK379" s="323"/>
      <c r="CL379" s="323"/>
      <c r="CM379" s="323"/>
      <c r="CN379" s="323"/>
      <c r="CO379" s="324"/>
      <c r="CP379" s="323"/>
      <c r="CQ379" s="323"/>
      <c r="CR379" s="323"/>
      <c r="CS379" s="323"/>
      <c r="CT379" s="324"/>
      <c r="CU379" s="323"/>
      <c r="CV379" s="323"/>
      <c r="CW379" s="323"/>
      <c r="CX379" s="323"/>
      <c r="CY379" s="324"/>
      <c r="CZ379" s="323"/>
      <c r="DA379" s="323"/>
      <c r="DB379" s="323"/>
      <c r="DC379" s="323"/>
      <c r="DD379" s="324"/>
      <c r="DE379" s="323"/>
      <c r="DF379" s="323"/>
      <c r="DG379" s="323"/>
      <c r="DH379" s="323"/>
      <c r="DI379" s="324"/>
      <c r="DJ379" s="323"/>
      <c r="DK379" s="323"/>
      <c r="DL379" s="323"/>
      <c r="DM379" s="323"/>
      <c r="DN379" s="324"/>
      <c r="DO379" s="323"/>
      <c r="DP379" s="323"/>
      <c r="DQ379" s="323"/>
      <c r="DR379" s="323"/>
      <c r="DS379" s="324"/>
    </row>
    <row r="380" hidden="1" outlineLevel="1" spans="2:123">
      <c r="B380" s="112" t="s">
        <v>435</v>
      </c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  <c r="AA380" s="280"/>
      <c r="AB380" s="280"/>
      <c r="AC380" s="280"/>
      <c r="AD380" s="280"/>
      <c r="AE380" s="280"/>
      <c r="AF380" s="280"/>
      <c r="AG380" s="280"/>
      <c r="AH380" s="280"/>
      <c r="AI380" s="280"/>
      <c r="AJ380" s="280"/>
      <c r="AK380" s="280"/>
      <c r="AL380" s="280"/>
      <c r="AM380" s="280"/>
      <c r="AN380" s="280"/>
      <c r="AO380" s="280"/>
      <c r="AP380" s="280"/>
      <c r="AQ380" s="280"/>
      <c r="AR380" s="280"/>
      <c r="AS380" s="280"/>
      <c r="AT380" s="280"/>
      <c r="AU380" s="280"/>
      <c r="AV380" s="280"/>
      <c r="AW380" s="280"/>
      <c r="AX380" s="280"/>
      <c r="AY380" s="280"/>
      <c r="AZ380" s="280"/>
      <c r="BA380" s="280"/>
      <c r="BB380" s="280"/>
      <c r="BC380" s="280"/>
      <c r="BD380" s="280"/>
      <c r="BE380" s="280"/>
      <c r="BF380" s="280"/>
      <c r="BG380" s="280"/>
      <c r="BH380" s="280"/>
      <c r="BI380" s="280"/>
      <c r="BJ380" s="280"/>
      <c r="BK380" s="280"/>
      <c r="BL380" s="280"/>
      <c r="BM380" s="280"/>
      <c r="BN380" s="280"/>
      <c r="BO380" s="280"/>
      <c r="BP380" s="280"/>
      <c r="BQ380" s="280"/>
      <c r="BR380" s="280"/>
      <c r="BS380" s="280"/>
      <c r="BT380" s="280"/>
      <c r="BU380" s="280"/>
      <c r="BV380" s="280"/>
      <c r="BW380" s="280"/>
      <c r="BX380" s="280"/>
      <c r="BY380" s="280"/>
      <c r="BZ380" s="280"/>
      <c r="CA380" s="280"/>
      <c r="CB380" s="280"/>
      <c r="CC380" s="280"/>
      <c r="CD380" s="280"/>
      <c r="CE380" s="280"/>
      <c r="CF380" s="280"/>
      <c r="CG380" s="280"/>
      <c r="CH380" s="280"/>
      <c r="CI380" s="280"/>
      <c r="CJ380" s="280"/>
      <c r="CK380" s="280"/>
      <c r="CL380" s="280"/>
      <c r="CM380" s="280"/>
      <c r="CN380" s="280"/>
      <c r="CO380" s="280"/>
      <c r="CP380" s="280"/>
      <c r="CQ380" s="280"/>
      <c r="CR380" s="280"/>
      <c r="CS380" s="280"/>
      <c r="CT380" s="280"/>
      <c r="CU380" s="280"/>
      <c r="CV380" s="280"/>
      <c r="CW380" s="280"/>
      <c r="CX380" s="280"/>
      <c r="CY380" s="280"/>
      <c r="CZ380" s="280"/>
      <c r="DA380" s="280"/>
      <c r="DB380" s="280"/>
      <c r="DC380" s="280"/>
      <c r="DD380" s="280"/>
      <c r="DE380" s="280"/>
      <c r="DF380" s="280"/>
      <c r="DG380" s="280"/>
      <c r="DH380" s="280"/>
      <c r="DI380" s="280"/>
      <c r="DJ380" s="280"/>
      <c r="DK380" s="280"/>
      <c r="DL380" s="280"/>
      <c r="DM380" s="280"/>
      <c r="DN380" s="281"/>
      <c r="DO380" s="280"/>
      <c r="DP380" s="280"/>
      <c r="DQ380" s="280"/>
      <c r="DR380" s="280"/>
      <c r="DS380" s="281"/>
    </row>
    <row r="381" hidden="1" outlineLevel="1" spans="2:123">
      <c r="B381" s="184" t="s">
        <v>436</v>
      </c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  <c r="AA381" s="185"/>
      <c r="AB381" s="185"/>
      <c r="AC381" s="185"/>
      <c r="AD381" s="185"/>
      <c r="AE381" s="185"/>
      <c r="AF381" s="185"/>
      <c r="AG381" s="185"/>
      <c r="AH381" s="185"/>
      <c r="AI381" s="185"/>
      <c r="AJ381" s="185"/>
      <c r="AK381" s="185"/>
      <c r="AL381" s="185"/>
      <c r="AM381" s="185"/>
      <c r="AN381" s="185"/>
      <c r="AO381" s="185"/>
      <c r="AP381" s="185"/>
      <c r="AQ381" s="185"/>
      <c r="AR381" s="185"/>
      <c r="AS381" s="185"/>
      <c r="AT381" s="185"/>
      <c r="AU381" s="185"/>
      <c r="AV381" s="185"/>
      <c r="AW381" s="185"/>
      <c r="AX381" s="185"/>
      <c r="AY381" s="185"/>
      <c r="AZ381" s="185"/>
      <c r="BA381" s="185"/>
      <c r="BB381" s="185"/>
      <c r="BC381" s="185"/>
      <c r="BD381" s="185"/>
      <c r="BE381" s="185"/>
      <c r="BF381" s="185"/>
      <c r="BG381" s="185"/>
      <c r="BH381" s="185"/>
      <c r="BI381" s="185"/>
      <c r="BJ381" s="185"/>
      <c r="BK381" s="185"/>
      <c r="BL381" s="185"/>
      <c r="BM381" s="185"/>
      <c r="BN381" s="185"/>
      <c r="BO381" s="185"/>
      <c r="BP381" s="185"/>
      <c r="BQ381" s="185"/>
      <c r="BR381" s="185"/>
      <c r="BS381" s="185"/>
      <c r="BT381" s="185"/>
      <c r="BU381" s="185"/>
      <c r="BV381" s="185"/>
      <c r="BW381" s="185"/>
      <c r="BX381" s="185"/>
      <c r="BY381" s="185"/>
      <c r="BZ381" s="185"/>
      <c r="CA381" s="185"/>
      <c r="CB381" s="185"/>
      <c r="CC381" s="185"/>
      <c r="CD381" s="185"/>
      <c r="CE381" s="185"/>
      <c r="CF381" s="282"/>
      <c r="CG381" s="282"/>
      <c r="CH381" s="282"/>
      <c r="CI381" s="282"/>
      <c r="CJ381" s="185"/>
      <c r="CK381" s="282"/>
      <c r="CL381" s="282"/>
      <c r="CM381" s="282"/>
      <c r="CN381" s="282"/>
      <c r="CO381" s="185"/>
      <c r="CP381" s="282"/>
      <c r="CQ381" s="282"/>
      <c r="CR381" s="282"/>
      <c r="CS381" s="282"/>
      <c r="CT381" s="185"/>
      <c r="CU381" s="185"/>
      <c r="CV381" s="185"/>
      <c r="CW381" s="185"/>
      <c r="CX381" s="185"/>
      <c r="CY381" s="185"/>
      <c r="CZ381" s="185"/>
      <c r="DA381" s="185"/>
      <c r="DB381" s="185"/>
      <c r="DC381" s="185"/>
      <c r="DD381" s="185"/>
      <c r="DE381" s="185"/>
      <c r="DF381" s="283"/>
      <c r="DG381" s="185"/>
      <c r="DH381" s="185"/>
      <c r="DI381" s="185"/>
      <c r="DJ381" s="185"/>
      <c r="DK381" s="283"/>
      <c r="DL381" s="185"/>
      <c r="DM381" s="185"/>
      <c r="DN381" s="186"/>
      <c r="DO381" s="185"/>
      <c r="DP381" s="283"/>
      <c r="DQ381" s="185"/>
      <c r="DR381" s="185"/>
      <c r="DS381" s="186"/>
    </row>
    <row r="382" hidden="1" outlineLevel="1" spans="2:123">
      <c r="B382" s="263"/>
      <c r="C382" s="377"/>
      <c r="D382" s="247"/>
      <c r="E382" s="247"/>
      <c r="F382" s="247"/>
      <c r="G382" s="247"/>
      <c r="H382" s="377"/>
      <c r="I382" s="247"/>
      <c r="J382" s="247"/>
      <c r="K382" s="247"/>
      <c r="L382" s="247"/>
      <c r="M382" s="377"/>
      <c r="N382" s="247"/>
      <c r="O382" s="247"/>
      <c r="P382" s="247"/>
      <c r="Q382" s="247"/>
      <c r="R382" s="377"/>
      <c r="S382" s="247"/>
      <c r="T382" s="247"/>
      <c r="U382" s="247"/>
      <c r="V382" s="247"/>
      <c r="W382" s="377"/>
      <c r="X382" s="247"/>
      <c r="Y382" s="247"/>
      <c r="Z382" s="247"/>
      <c r="AA382" s="247"/>
      <c r="AB382" s="377"/>
      <c r="AC382" s="247"/>
      <c r="AD382" s="247"/>
      <c r="AE382" s="247"/>
      <c r="AF382" s="247"/>
      <c r="AG382" s="377"/>
      <c r="AH382" s="247"/>
      <c r="AI382" s="247"/>
      <c r="AJ382" s="247"/>
      <c r="AK382" s="247"/>
      <c r="AL382" s="377"/>
      <c r="AM382" s="247"/>
      <c r="AN382" s="247"/>
      <c r="AO382" s="247"/>
      <c r="AP382" s="247"/>
      <c r="AQ382" s="377"/>
      <c r="AR382" s="247"/>
      <c r="AS382" s="247"/>
      <c r="AT382" s="247"/>
      <c r="AU382" s="247"/>
      <c r="AV382" s="377"/>
      <c r="AW382" s="247"/>
      <c r="AX382" s="247"/>
      <c r="AY382" s="247"/>
      <c r="AZ382" s="247"/>
      <c r="BA382" s="377"/>
      <c r="BB382" s="247"/>
      <c r="BC382" s="247"/>
      <c r="BD382" s="247"/>
      <c r="BE382" s="247"/>
      <c r="BF382" s="377"/>
      <c r="BG382" s="247"/>
      <c r="BH382" s="247"/>
      <c r="BI382" s="247"/>
      <c r="BJ382" s="247"/>
      <c r="BK382" s="377"/>
      <c r="BL382" s="247"/>
      <c r="BM382" s="247"/>
      <c r="BN382" s="247"/>
      <c r="BO382" s="247"/>
      <c r="BP382" s="377"/>
      <c r="BQ382" s="247"/>
      <c r="BR382" s="247"/>
      <c r="BS382" s="247"/>
      <c r="BT382" s="247"/>
      <c r="BU382" s="377"/>
      <c r="BV382" s="247"/>
      <c r="BW382" s="247"/>
      <c r="BX382" s="247"/>
      <c r="BY382" s="247"/>
      <c r="BZ382" s="377"/>
      <c r="CA382" s="247"/>
      <c r="CB382" s="247"/>
      <c r="CC382" s="247"/>
      <c r="CD382" s="247"/>
      <c r="CE382" s="377"/>
      <c r="CF382" s="378"/>
      <c r="CG382" s="378"/>
      <c r="CH382" s="378"/>
      <c r="CI382" s="378"/>
      <c r="CJ382" s="377"/>
      <c r="CK382" s="378"/>
      <c r="CL382" s="378"/>
      <c r="CM382" s="378"/>
      <c r="CN382" s="378"/>
      <c r="CO382" s="377"/>
      <c r="CP382" s="378"/>
      <c r="CQ382" s="378"/>
      <c r="CR382" s="378"/>
      <c r="CS382" s="378"/>
      <c r="CT382" s="377"/>
      <c r="CU382" s="247"/>
      <c r="CV382" s="247"/>
      <c r="CW382" s="247"/>
      <c r="CX382" s="247"/>
      <c r="CY382" s="377"/>
      <c r="CZ382" s="247"/>
      <c r="DA382" s="247"/>
      <c r="DB382" s="247"/>
      <c r="DC382" s="247"/>
      <c r="DD382" s="377"/>
      <c r="DE382" s="247"/>
      <c r="DF382" s="247"/>
      <c r="DG382" s="247"/>
      <c r="DH382" s="247"/>
      <c r="DI382" s="377"/>
      <c r="DJ382" s="247"/>
      <c r="DK382" s="247"/>
      <c r="DL382" s="247"/>
      <c r="DM382" s="247"/>
      <c r="DN382" s="377"/>
      <c r="DO382" s="247"/>
      <c r="DP382" s="247"/>
      <c r="DQ382" s="247"/>
      <c r="DR382" s="247"/>
      <c r="DS382" s="377"/>
    </row>
    <row r="383" s="96" customFormat="1" hidden="1" outlineLevel="1" spans="2:123">
      <c r="B383" s="379" t="s">
        <v>437</v>
      </c>
      <c r="C383" s="264">
        <v>29.906</v>
      </c>
      <c r="D383" s="265">
        <v>11.052</v>
      </c>
      <c r="E383" s="265">
        <v>13.455</v>
      </c>
      <c r="F383" s="265">
        <v>15.62</v>
      </c>
      <c r="G383" s="265">
        <v>25.45</v>
      </c>
      <c r="H383" s="264">
        <f>SUM(D383:G383)</f>
        <v>65.577</v>
      </c>
      <c r="I383" s="265">
        <v>22.146</v>
      </c>
      <c r="J383" s="265">
        <v>26.831</v>
      </c>
      <c r="K383" s="265">
        <v>29.145</v>
      </c>
      <c r="L383" s="265">
        <v>42.612</v>
      </c>
      <c r="M383" s="264">
        <f>SUM(I383:L383)</f>
        <v>120.734</v>
      </c>
      <c r="N383" s="265">
        <v>38.008</v>
      </c>
      <c r="O383" s="265">
        <v>53.1</v>
      </c>
      <c r="P383" s="265">
        <v>59.9</v>
      </c>
      <c r="Q383" s="265">
        <v>92.5</v>
      </c>
      <c r="R383" s="264">
        <f>SUM(N383:Q383)</f>
        <v>243.508</v>
      </c>
      <c r="S383" s="265">
        <v>70.6</v>
      </c>
      <c r="T383" s="265">
        <v>78.3</v>
      </c>
      <c r="U383" s="265">
        <v>77.6</v>
      </c>
      <c r="V383" s="265">
        <v>89.047803</v>
      </c>
      <c r="W383" s="264">
        <f>SUM(S383:V383)</f>
        <v>315.547803</v>
      </c>
      <c r="X383" s="265">
        <v>72.031</v>
      </c>
      <c r="Y383" s="265">
        <v>85.1</v>
      </c>
      <c r="Z383" s="265">
        <v>98.1</v>
      </c>
      <c r="AA383" s="265">
        <f>137.4+0.9</f>
        <v>138.3</v>
      </c>
      <c r="AB383" s="264">
        <f>SUM(X383:AA383)</f>
        <v>393.531</v>
      </c>
      <c r="AC383" s="265">
        <v>115.597</v>
      </c>
      <c r="AD383" s="265">
        <v>129.4</v>
      </c>
      <c r="AE383" s="265">
        <v>143.2</v>
      </c>
      <c r="AF383" s="265">
        <v>202.8</v>
      </c>
      <c r="AG383" s="264">
        <f>SUM(AC383:AF383)</f>
        <v>590.997</v>
      </c>
      <c r="AH383" s="265">
        <v>156.5</v>
      </c>
      <c r="AI383" s="265">
        <v>178.223</v>
      </c>
      <c r="AJ383" s="265">
        <v>190.016</v>
      </c>
      <c r="AK383" s="265">
        <v>292.47028</v>
      </c>
      <c r="AL383" s="264">
        <f>SUM(AH383:AK383)</f>
        <v>817.20928</v>
      </c>
      <c r="AM383" s="265">
        <v>228.789</v>
      </c>
      <c r="AN383" s="265">
        <v>231.314</v>
      </c>
      <c r="AO383" s="265">
        <v>252.046</v>
      </c>
      <c r="AP383" s="265">
        <v>378.032</v>
      </c>
      <c r="AQ383" s="264">
        <f>SUM(AM383:AP383)</f>
        <v>1090.181</v>
      </c>
      <c r="AR383" s="265">
        <v>269.357</v>
      </c>
      <c r="AS383" s="265">
        <v>273.768</v>
      </c>
      <c r="AT383" s="265">
        <v>290.666</v>
      </c>
      <c r="AU383" s="265">
        <v>395.208</v>
      </c>
      <c r="AV383" s="264">
        <f>SUM(AR383:AU383)</f>
        <v>1228.999</v>
      </c>
      <c r="AW383" s="265">
        <v>288.101</v>
      </c>
      <c r="AX383" s="265">
        <v>294.04</v>
      </c>
      <c r="AY383" s="265">
        <v>310.014</v>
      </c>
      <c r="AZ383" s="265">
        <v>456.07</v>
      </c>
      <c r="BA383" s="264">
        <f>SUM(AW383:AZ383)</f>
        <v>1348.225</v>
      </c>
      <c r="BB383" s="265">
        <v>314.094</v>
      </c>
      <c r="BC383" s="265">
        <v>339.779</v>
      </c>
      <c r="BD383" s="265">
        <v>353.399</v>
      </c>
      <c r="BE383" s="265">
        <v>509.051</v>
      </c>
      <c r="BF383" s="264">
        <f>SUM(BB383:BE383)</f>
        <v>1516.323</v>
      </c>
      <c r="BG383" s="265">
        <v>358.704</v>
      </c>
      <c r="BH383" s="265">
        <v>381.389</v>
      </c>
      <c r="BI383" s="265">
        <v>393.506</v>
      </c>
      <c r="BJ383" s="265">
        <v>570.758</v>
      </c>
      <c r="BK383" s="264">
        <f>SUM(BG383:BJ383)</f>
        <v>1704.357</v>
      </c>
      <c r="BL383" s="265">
        <v>379.099</v>
      </c>
      <c r="BM383" s="265">
        <v>413.944</v>
      </c>
      <c r="BN383" s="265">
        <v>425.1</v>
      </c>
      <c r="BO383" s="265">
        <v>618.9</v>
      </c>
      <c r="BP383" s="264">
        <f>SUM(BL383:BO383)</f>
        <v>1837.043</v>
      </c>
      <c r="BQ383" s="265">
        <v>433.12</v>
      </c>
      <c r="BR383" s="265">
        <v>486.4</v>
      </c>
      <c r="BS383" s="265">
        <v>476.877</v>
      </c>
      <c r="BT383" s="265">
        <f>2126.363-SUM(BQ383:BS383)</f>
        <v>729.966</v>
      </c>
      <c r="BU383" s="264">
        <f>SUM(BQ383:BT383)</f>
        <v>2126.363</v>
      </c>
      <c r="BV383" s="265">
        <v>506.422</v>
      </c>
      <c r="BW383" s="265">
        <v>583.756</v>
      </c>
      <c r="BX383" s="265">
        <v>579.5</v>
      </c>
      <c r="BY383" s="265">
        <v>831.4</v>
      </c>
      <c r="BZ383" s="264">
        <f>SUM(BV383:BY383)</f>
        <v>2501.078</v>
      </c>
      <c r="CA383" s="265">
        <v>259.97</v>
      </c>
      <c r="CB383" s="265">
        <v>287.2</v>
      </c>
      <c r="CC383" s="265">
        <v>511.756</v>
      </c>
      <c r="CD383" s="271">
        <f>1658.807-CC383-CB383-CA383</f>
        <v>599.881</v>
      </c>
      <c r="CE383" s="264">
        <f>SUM(CA383:CD383)</f>
        <v>1658.807</v>
      </c>
      <c r="CF383" s="265">
        <v>536.584</v>
      </c>
      <c r="CG383" s="265">
        <v>695.12</v>
      </c>
      <c r="CH383" s="271">
        <v>707.16</v>
      </c>
      <c r="CI383" s="265">
        <f>2821.497-CF383-CG383-CH383</f>
        <v>882.633</v>
      </c>
      <c r="CJ383" s="264">
        <f>SUM(CF383:CI383)</f>
        <v>2821.497</v>
      </c>
      <c r="CK383" s="265">
        <v>731.604</v>
      </c>
      <c r="CL383" s="265">
        <v>903.077</v>
      </c>
      <c r="CM383" s="265">
        <v>903.06</v>
      </c>
      <c r="CN383" s="265">
        <f>3648.127-CM383-CL383-CK383</f>
        <v>1110.386</v>
      </c>
      <c r="CO383" s="264">
        <f>SUM(CK383:CN383)</f>
        <v>3648.127</v>
      </c>
      <c r="CP383" s="265">
        <v>958.087</v>
      </c>
      <c r="CQ383" s="265">
        <v>1096.939</v>
      </c>
      <c r="CR383" s="271">
        <v>1073.973</v>
      </c>
      <c r="CS383" s="265">
        <f>4410.956-CR383-CQ383-CP383</f>
        <v>1281.957</v>
      </c>
      <c r="CT383" s="264">
        <f>SUM(CP383:CS383)</f>
        <v>4410.956</v>
      </c>
      <c r="CU383" s="265"/>
      <c r="CV383" s="265"/>
      <c r="CW383" s="265"/>
      <c r="CX383" s="265"/>
      <c r="CY383" s="264"/>
      <c r="CZ383" s="265"/>
      <c r="DA383" s="265"/>
      <c r="DB383" s="265"/>
      <c r="DC383" s="265"/>
      <c r="DD383" s="264"/>
      <c r="DE383" s="265"/>
      <c r="DF383" s="265"/>
      <c r="DG383" s="265"/>
      <c r="DH383" s="265"/>
      <c r="DI383" s="264"/>
      <c r="DJ383" s="265"/>
      <c r="DK383" s="265"/>
      <c r="DL383" s="265"/>
      <c r="DM383" s="265"/>
      <c r="DN383" s="264"/>
      <c r="DO383" s="265"/>
      <c r="DP383" s="265"/>
      <c r="DQ383" s="265"/>
      <c r="DR383" s="265"/>
      <c r="DS383" s="264"/>
    </row>
    <row r="384" s="4" customFormat="1" hidden="1" outlineLevel="1" spans="2:123">
      <c r="B384" s="149" t="s">
        <v>69</v>
      </c>
      <c r="C384" s="150"/>
      <c r="D384" s="151"/>
      <c r="E384" s="151"/>
      <c r="F384" s="151"/>
      <c r="G384" s="151"/>
      <c r="H384" s="254">
        <f t="shared" ref="H384:AM384" si="1594">H383/C383-1</f>
        <v>1.1927706814686</v>
      </c>
      <c r="I384" s="255">
        <f t="shared" si="1594"/>
        <v>1.00380021715527</v>
      </c>
      <c r="J384" s="255">
        <f t="shared" si="1594"/>
        <v>0.994128576737272</v>
      </c>
      <c r="K384" s="255">
        <f t="shared" si="1594"/>
        <v>0.865877080665814</v>
      </c>
      <c r="L384" s="255">
        <f t="shared" si="1594"/>
        <v>0.67434184675835</v>
      </c>
      <c r="M384" s="254">
        <f t="shared" si="1594"/>
        <v>0.841102825685835</v>
      </c>
      <c r="N384" s="255">
        <f t="shared" si="1594"/>
        <v>0.71624672627111</v>
      </c>
      <c r="O384" s="255">
        <f t="shared" si="1594"/>
        <v>0.979054079236704</v>
      </c>
      <c r="P384" s="255">
        <f t="shared" si="1594"/>
        <v>1.05524103619832</v>
      </c>
      <c r="Q384" s="255">
        <f t="shared" si="1594"/>
        <v>1.17075002346757</v>
      </c>
      <c r="R384" s="254">
        <f t="shared" si="1594"/>
        <v>1.01689664883131</v>
      </c>
      <c r="S384" s="255">
        <f t="shared" si="1594"/>
        <v>0.857503683435066</v>
      </c>
      <c r="T384" s="255">
        <f t="shared" si="1594"/>
        <v>0.474576271186441</v>
      </c>
      <c r="U384" s="255">
        <f t="shared" si="1594"/>
        <v>0.295492487479132</v>
      </c>
      <c r="V384" s="255">
        <f t="shared" si="1594"/>
        <v>-0.0373210486486485</v>
      </c>
      <c r="W384" s="254">
        <f t="shared" si="1594"/>
        <v>0.295841627379799</v>
      </c>
      <c r="X384" s="255">
        <f t="shared" si="1594"/>
        <v>0.0202691218130313</v>
      </c>
      <c r="Y384" s="255">
        <f t="shared" si="1594"/>
        <v>0.0868454661558109</v>
      </c>
      <c r="Z384" s="255">
        <f t="shared" si="1594"/>
        <v>0.264175257731959</v>
      </c>
      <c r="AA384" s="255">
        <f t="shared" si="1594"/>
        <v>0.553098395925613</v>
      </c>
      <c r="AB384" s="254">
        <f t="shared" si="1594"/>
        <v>0.247135921272759</v>
      </c>
      <c r="AC384" s="255">
        <f t="shared" si="1594"/>
        <v>0.604822923463508</v>
      </c>
      <c r="AD384" s="255">
        <f t="shared" si="1594"/>
        <v>0.520564042303173</v>
      </c>
      <c r="AE384" s="255">
        <f t="shared" si="1594"/>
        <v>0.45973496432212</v>
      </c>
      <c r="AF384" s="255">
        <f t="shared" si="1594"/>
        <v>0.466377440347072</v>
      </c>
      <c r="AG384" s="254">
        <f t="shared" si="1594"/>
        <v>0.501780037659041</v>
      </c>
      <c r="AH384" s="255">
        <f t="shared" si="1594"/>
        <v>0.353841362665121</v>
      </c>
      <c r="AI384" s="255">
        <f t="shared" si="1594"/>
        <v>0.377302936630603</v>
      </c>
      <c r="AJ384" s="255">
        <f t="shared" si="1594"/>
        <v>0.326927374301676</v>
      </c>
      <c r="AK384" s="255">
        <f t="shared" si="1594"/>
        <v>0.442161143984221</v>
      </c>
      <c r="AL384" s="254">
        <f t="shared" si="1594"/>
        <v>0.382763838056708</v>
      </c>
      <c r="AM384" s="255">
        <f t="shared" si="1594"/>
        <v>0.46191054313099</v>
      </c>
      <c r="AN384" s="255">
        <f t="shared" ref="AN384:BS384" si="1595">AN383/AI383-1</f>
        <v>0.297890844616015</v>
      </c>
      <c r="AO384" s="255">
        <f t="shared" si="1595"/>
        <v>0.326446194004715</v>
      </c>
      <c r="AP384" s="255">
        <f t="shared" si="1595"/>
        <v>0.292548425775091</v>
      </c>
      <c r="AQ384" s="254">
        <f t="shared" si="1595"/>
        <v>0.334029148567672</v>
      </c>
      <c r="AR384" s="255">
        <f t="shared" si="1595"/>
        <v>0.177316217125824</v>
      </c>
      <c r="AS384" s="255">
        <f t="shared" si="1595"/>
        <v>0.183534070570739</v>
      </c>
      <c r="AT384" s="255">
        <f t="shared" si="1595"/>
        <v>0.153225998428858</v>
      </c>
      <c r="AU384" s="255">
        <f t="shared" si="1595"/>
        <v>0.0454353070639522</v>
      </c>
      <c r="AV384" s="254">
        <f t="shared" si="1595"/>
        <v>0.12733481871359</v>
      </c>
      <c r="AW384" s="255">
        <f t="shared" si="1595"/>
        <v>0.0695879446236778</v>
      </c>
      <c r="AX384" s="255">
        <f t="shared" si="1595"/>
        <v>0.0740480991204233</v>
      </c>
      <c r="AY384" s="255">
        <f t="shared" si="1595"/>
        <v>0.0665643728540661</v>
      </c>
      <c r="AZ384" s="255">
        <f t="shared" si="1595"/>
        <v>0.153999919029979</v>
      </c>
      <c r="BA384" s="254">
        <f t="shared" si="1595"/>
        <v>0.0970106566400786</v>
      </c>
      <c r="BB384" s="255">
        <f t="shared" si="1595"/>
        <v>0.0902218319269978</v>
      </c>
      <c r="BC384" s="255">
        <f t="shared" si="1595"/>
        <v>0.155553666167868</v>
      </c>
      <c r="BD384" s="255">
        <f t="shared" si="1595"/>
        <v>0.139945292793229</v>
      </c>
      <c r="BE384" s="255">
        <f t="shared" si="1595"/>
        <v>0.116168570614161</v>
      </c>
      <c r="BF384" s="254">
        <f t="shared" si="1595"/>
        <v>0.12468096942276</v>
      </c>
      <c r="BG384" s="255">
        <f t="shared" si="1595"/>
        <v>0.142027545893904</v>
      </c>
      <c r="BH384" s="255">
        <f t="shared" si="1595"/>
        <v>0.122461953210764</v>
      </c>
      <c r="BI384" s="255">
        <f t="shared" si="1595"/>
        <v>0.113489285481849</v>
      </c>
      <c r="BJ384" s="255">
        <f t="shared" si="1595"/>
        <v>0.121219681328589</v>
      </c>
      <c r="BK384" s="254">
        <f t="shared" si="1595"/>
        <v>0.124006560607469</v>
      </c>
      <c r="BL384" s="255">
        <f t="shared" si="1595"/>
        <v>0.0568574646505196</v>
      </c>
      <c r="BM384" s="255">
        <f t="shared" si="1595"/>
        <v>0.0853590428669941</v>
      </c>
      <c r="BN384" s="255">
        <f t="shared" si="1595"/>
        <v>0.0802884835301114</v>
      </c>
      <c r="BO384" s="255">
        <f t="shared" si="1595"/>
        <v>0.0843474817698573</v>
      </c>
      <c r="BP384" s="254">
        <f t="shared" si="1595"/>
        <v>0.0778510605465874</v>
      </c>
      <c r="BQ384" s="255">
        <f t="shared" si="1595"/>
        <v>0.142498397516216</v>
      </c>
      <c r="BR384" s="255">
        <f t="shared" si="1595"/>
        <v>0.17503816941422</v>
      </c>
      <c r="BS384" s="255">
        <f t="shared" si="1595"/>
        <v>0.121799576570219</v>
      </c>
      <c r="BT384" s="255">
        <f t="shared" ref="BT384:CR384" si="1596">BT383/BO383-1</f>
        <v>0.179457101308774</v>
      </c>
      <c r="BU384" s="254">
        <f t="shared" si="1596"/>
        <v>0.157492230720783</v>
      </c>
      <c r="BV384" s="255">
        <f t="shared" si="1596"/>
        <v>0.169241780568895</v>
      </c>
      <c r="BW384" s="255">
        <f t="shared" si="1596"/>
        <v>0.20015625</v>
      </c>
      <c r="BX384" s="255">
        <f t="shared" si="1596"/>
        <v>0.215198048972796</v>
      </c>
      <c r="BY384" s="255">
        <f t="shared" si="1596"/>
        <v>0.138957156908678</v>
      </c>
      <c r="BZ384" s="254">
        <f t="shared" si="1596"/>
        <v>0.176223438801371</v>
      </c>
      <c r="CA384" s="255">
        <f t="shared" si="1596"/>
        <v>-0.486653423429472</v>
      </c>
      <c r="CB384" s="255">
        <f t="shared" si="1596"/>
        <v>-0.508013622129794</v>
      </c>
      <c r="CC384" s="255">
        <f t="shared" si="1596"/>
        <v>-0.116900776531493</v>
      </c>
      <c r="CD384" s="255">
        <f t="shared" si="1596"/>
        <v>-0.278468847726726</v>
      </c>
      <c r="CE384" s="254">
        <f t="shared" si="1596"/>
        <v>-0.336763187713458</v>
      </c>
      <c r="CF384" s="255">
        <f t="shared" si="1596"/>
        <v>1.06402277185829</v>
      </c>
      <c r="CG384" s="255">
        <f t="shared" si="1596"/>
        <v>1.42033426183844</v>
      </c>
      <c r="CH384" s="255">
        <f t="shared" si="1596"/>
        <v>0.381830403551693</v>
      </c>
      <c r="CI384" s="255">
        <f t="shared" si="1596"/>
        <v>0.471346817118729</v>
      </c>
      <c r="CJ384" s="254">
        <f t="shared" si="1596"/>
        <v>0.700919395686177</v>
      </c>
      <c r="CK384" s="255">
        <f t="shared" si="1596"/>
        <v>0.363447288774917</v>
      </c>
      <c r="CL384" s="255">
        <f t="shared" si="1596"/>
        <v>0.299167050293474</v>
      </c>
      <c r="CM384" s="255">
        <f t="shared" si="1596"/>
        <v>0.277023587306974</v>
      </c>
      <c r="CN384" s="255">
        <f t="shared" si="1596"/>
        <v>0.258038165352983</v>
      </c>
      <c r="CO384" s="254">
        <f t="shared" si="1596"/>
        <v>0.292975679222767</v>
      </c>
      <c r="CP384" s="255">
        <f t="shared" si="1596"/>
        <v>0.309570478018163</v>
      </c>
      <c r="CQ384" s="255">
        <f t="shared" si="1596"/>
        <v>0.214668295173059</v>
      </c>
      <c r="CR384" s="255">
        <f t="shared" si="1596"/>
        <v>0.189259849843864</v>
      </c>
      <c r="CS384" s="255">
        <f t="shared" ref="CS384:CT384" si="1597">CS383/CN383-1</f>
        <v>0.15451473631692</v>
      </c>
      <c r="CT384" s="254">
        <f t="shared" si="1597"/>
        <v>0.209101547177497</v>
      </c>
      <c r="CU384" s="255"/>
      <c r="CV384" s="255"/>
      <c r="CW384" s="255"/>
      <c r="CX384" s="255"/>
      <c r="CY384" s="254"/>
      <c r="CZ384" s="255"/>
      <c r="DA384" s="255"/>
      <c r="DB384" s="255"/>
      <c r="DC384" s="255"/>
      <c r="DD384" s="254"/>
      <c r="DE384" s="255"/>
      <c r="DF384" s="255"/>
      <c r="DG384" s="255"/>
      <c r="DH384" s="255"/>
      <c r="DI384" s="254"/>
      <c r="DJ384" s="255"/>
      <c r="DK384" s="255"/>
      <c r="DL384" s="255"/>
      <c r="DM384" s="255"/>
      <c r="DN384" s="254"/>
      <c r="DO384" s="255"/>
      <c r="DP384" s="255"/>
      <c r="DQ384" s="255"/>
      <c r="DR384" s="255"/>
      <c r="DS384" s="254"/>
    </row>
    <row r="385" s="85" customFormat="1" hidden="1" outlineLevel="1" spans="2:123">
      <c r="B385" s="262" t="s">
        <v>286</v>
      </c>
      <c r="C385" s="380"/>
      <c r="D385" s="381"/>
      <c r="E385" s="381"/>
      <c r="F385" s="381"/>
      <c r="G385" s="381"/>
      <c r="H385" s="254"/>
      <c r="I385" s="255"/>
      <c r="J385" s="255"/>
      <c r="K385" s="255"/>
      <c r="L385" s="255"/>
      <c r="M385" s="254"/>
      <c r="N385" s="255">
        <f t="shared" ref="N385:AS385" si="1598">(N383/D383)^(1/2)-1</f>
        <v>0.85445829362487</v>
      </c>
      <c r="O385" s="255">
        <f t="shared" si="1598"/>
        <v>0.986577029544634</v>
      </c>
      <c r="P385" s="255">
        <f t="shared" si="1598"/>
        <v>0.958271468588127</v>
      </c>
      <c r="Q385" s="255">
        <f t="shared" si="1598"/>
        <v>0.906456819113252</v>
      </c>
      <c r="R385" s="254">
        <f t="shared" si="1598"/>
        <v>0.9269961388855</v>
      </c>
      <c r="S385" s="255">
        <f t="shared" si="1598"/>
        <v>0.785478819737708</v>
      </c>
      <c r="T385" s="255">
        <f t="shared" si="1598"/>
        <v>0.708293354385356</v>
      </c>
      <c r="U385" s="255">
        <f t="shared" si="1598"/>
        <v>0.631732000775173</v>
      </c>
      <c r="V385" s="255">
        <f t="shared" si="1598"/>
        <v>0.445591697623392</v>
      </c>
      <c r="W385" s="254">
        <f t="shared" si="1598"/>
        <v>0.616656622687215</v>
      </c>
      <c r="X385" s="255">
        <f t="shared" si="1598"/>
        <v>0.37664579753209</v>
      </c>
      <c r="Y385" s="255">
        <f t="shared" si="1598"/>
        <v>0.265952816988028</v>
      </c>
      <c r="Z385" s="255">
        <f t="shared" si="1598"/>
        <v>0.27973807837727</v>
      </c>
      <c r="AA385" s="255">
        <f t="shared" si="1598"/>
        <v>0.222757185681252</v>
      </c>
      <c r="AB385" s="254">
        <f t="shared" si="1598"/>
        <v>0.271255537563513</v>
      </c>
      <c r="AC385" s="255">
        <f t="shared" si="1598"/>
        <v>0.279590276138239</v>
      </c>
      <c r="AD385" s="255">
        <f t="shared" si="1598"/>
        <v>0.285541961733166</v>
      </c>
      <c r="AE385" s="255">
        <f t="shared" si="1598"/>
        <v>0.358440585650424</v>
      </c>
      <c r="AF385" s="255">
        <f t="shared" si="1598"/>
        <v>0.509115121660552</v>
      </c>
      <c r="AG385" s="254">
        <f t="shared" si="1598"/>
        <v>0.368548073987518</v>
      </c>
      <c r="AH385" s="255">
        <f t="shared" si="1598"/>
        <v>0.473999882475592</v>
      </c>
      <c r="AI385" s="255">
        <f t="shared" si="1598"/>
        <v>0.447161815692724</v>
      </c>
      <c r="AJ385" s="255">
        <f t="shared" si="1598"/>
        <v>0.391747923793782</v>
      </c>
      <c r="AK385" s="255">
        <f t="shared" si="1598"/>
        <v>0.454218885478932</v>
      </c>
      <c r="AL385" s="254">
        <f t="shared" si="1598"/>
        <v>0.441043763662423</v>
      </c>
      <c r="AM385" s="255">
        <f t="shared" si="1598"/>
        <v>0.406838640998664</v>
      </c>
      <c r="AN385" s="255">
        <f t="shared" si="1598"/>
        <v>0.337007431436194</v>
      </c>
      <c r="AO385" s="255">
        <f t="shared" si="1598"/>
        <v>0.326686762338092</v>
      </c>
      <c r="AP385" s="255">
        <f t="shared" si="1598"/>
        <v>0.365306967817424</v>
      </c>
      <c r="AQ385" s="254">
        <f t="shared" si="1598"/>
        <v>0.35817792116974</v>
      </c>
      <c r="AR385" s="255">
        <f t="shared" si="1598"/>
        <v>0.311918820055317</v>
      </c>
      <c r="AS385" s="255">
        <f t="shared" si="1598"/>
        <v>0.239394220772748</v>
      </c>
      <c r="AT385" s="255">
        <f t="shared" ref="AT385:BY385" si="1599">(AT383/AJ383)^(1/2)-1</f>
        <v>0.236807275384183</v>
      </c>
      <c r="AU385" s="255">
        <f t="shared" si="1599"/>
        <v>0.162443874083911</v>
      </c>
      <c r="AV385" s="254">
        <f t="shared" si="1599"/>
        <v>0.226334990269454</v>
      </c>
      <c r="AW385" s="255">
        <f t="shared" si="1599"/>
        <v>0.122160074520446</v>
      </c>
      <c r="AX385" s="255">
        <f t="shared" si="1599"/>
        <v>0.127462868009745</v>
      </c>
      <c r="AY385" s="255">
        <f t="shared" si="1599"/>
        <v>0.109049035783937</v>
      </c>
      <c r="AZ385" s="255">
        <f t="shared" si="1599"/>
        <v>0.0983771026850848</v>
      </c>
      <c r="BA385" s="254">
        <f t="shared" si="1599"/>
        <v>0.112069381707013</v>
      </c>
      <c r="BB385" s="255">
        <f t="shared" si="1599"/>
        <v>0.0798556053448343</v>
      </c>
      <c r="BC385" s="255">
        <f t="shared" si="1599"/>
        <v>0.11405575200671</v>
      </c>
      <c r="BD385" s="255">
        <f t="shared" si="1599"/>
        <v>0.102644564805883</v>
      </c>
      <c r="BE385" s="255">
        <f t="shared" si="1599"/>
        <v>0.134926623228369</v>
      </c>
      <c r="BF385" s="254">
        <f t="shared" si="1599"/>
        <v>0.110759653920263</v>
      </c>
      <c r="BG385" s="255">
        <f t="shared" si="1599"/>
        <v>0.115824073586668</v>
      </c>
      <c r="BH385" s="255">
        <f t="shared" si="1599"/>
        <v>0.138887626224222</v>
      </c>
      <c r="BI385" s="255">
        <f t="shared" si="1599"/>
        <v>0.126639636068574</v>
      </c>
      <c r="BJ385" s="255">
        <f t="shared" si="1599"/>
        <v>0.118691275130452</v>
      </c>
      <c r="BK385" s="254">
        <f t="shared" si="1599"/>
        <v>0.124343714449256</v>
      </c>
      <c r="BL385" s="255">
        <f t="shared" si="1599"/>
        <v>0.0986174660519861</v>
      </c>
      <c r="BM385" s="255">
        <f t="shared" si="1599"/>
        <v>0.103754606419131</v>
      </c>
      <c r="BN385" s="255">
        <f t="shared" si="1599"/>
        <v>0.0967632614380434</v>
      </c>
      <c r="BO385" s="255">
        <f t="shared" si="1599"/>
        <v>0.102629465395995</v>
      </c>
      <c r="BP385" s="254">
        <f t="shared" si="1599"/>
        <v>0.100686905260566</v>
      </c>
      <c r="BQ385" s="255">
        <f t="shared" si="1599"/>
        <v>0.0988439196565951</v>
      </c>
      <c r="BR385" s="255">
        <f t="shared" si="1599"/>
        <v>0.129308772164461</v>
      </c>
      <c r="BS385" s="255">
        <f t="shared" si="1599"/>
        <v>0.100848383474202</v>
      </c>
      <c r="BT385" s="255">
        <f t="shared" si="1599"/>
        <v>0.130902886042716</v>
      </c>
      <c r="BU385" s="254">
        <f t="shared" si="1599"/>
        <v>0.116962053275236</v>
      </c>
      <c r="BV385" s="255">
        <f t="shared" si="1599"/>
        <v>0.155792741199291</v>
      </c>
      <c r="BW385" s="255">
        <f t="shared" si="1599"/>
        <v>0.187530800868354</v>
      </c>
      <c r="BX385" s="255">
        <f t="shared" si="1599"/>
        <v>0.167565268748021</v>
      </c>
      <c r="BY385" s="255">
        <f t="shared" si="1599"/>
        <v>0.15903024412756</v>
      </c>
      <c r="BZ385" s="254">
        <f t="shared" ref="BZ385:CJ385" si="1600">(BZ383/BP383)^(1/2)-1</f>
        <v>0.166820248369161</v>
      </c>
      <c r="CA385" s="255">
        <f t="shared" si="1600"/>
        <v>-0.225257290942166</v>
      </c>
      <c r="CB385" s="255">
        <f t="shared" si="1600"/>
        <v>-0.231585706590651</v>
      </c>
      <c r="CC385" s="255">
        <f t="shared" si="1600"/>
        <v>0.0359249265310306</v>
      </c>
      <c r="CD385" s="255">
        <f t="shared" si="1600"/>
        <v>-0.0934719696478159</v>
      </c>
      <c r="CE385" s="254">
        <f t="shared" si="1600"/>
        <v>-0.116758988674475</v>
      </c>
      <c r="CF385" s="255">
        <f t="shared" si="1600"/>
        <v>0.0293488348937234</v>
      </c>
      <c r="CG385" s="255">
        <f t="shared" si="1600"/>
        <v>0.0912247645270212</v>
      </c>
      <c r="CH385" s="255">
        <f t="shared" si="1600"/>
        <v>0.104668889913025</v>
      </c>
      <c r="CI385" s="255">
        <f t="shared" si="1600"/>
        <v>0.0303506996888441</v>
      </c>
      <c r="CJ385" s="254">
        <f t="shared" si="1600"/>
        <v>0.0621263380367005</v>
      </c>
      <c r="CK385" s="255">
        <f t="shared" ref="CK385" si="1601">(CK383/CA383)^(1/2)-1</f>
        <v>0.677553651082396</v>
      </c>
      <c r="CL385" s="255">
        <f t="shared" ref="CL385" si="1602">(CL383/CB383)^(1/2)-1</f>
        <v>0.773250834957333</v>
      </c>
      <c r="CM385" s="255">
        <f t="shared" ref="CM385" si="1603">(CM383/CC383)^(1/2)-1</f>
        <v>0.328393774072066</v>
      </c>
      <c r="CN385" s="255">
        <f t="shared" ref="CN385:CO385" si="1604">(CN383/CD383)^(1/2)-1</f>
        <v>0.360518449123715</v>
      </c>
      <c r="CO385" s="254">
        <f t="shared" si="1604"/>
        <v>0.482985977998617</v>
      </c>
      <c r="CP385" s="255">
        <f t="shared" ref="CP385" si="1605">(CP383/CF383)^(1/2)-1</f>
        <v>0.336237373266268</v>
      </c>
      <c r="CQ385" s="255">
        <f t="shared" ref="CQ385" si="1606">(CQ383/CG383)^(1/2)-1</f>
        <v>0.256207397735337</v>
      </c>
      <c r="CR385" s="255">
        <f t="shared" ref="CR385" si="1607">(CR383/CH383)^(1/2)-1</f>
        <v>0.232360693826189</v>
      </c>
      <c r="CS385" s="255">
        <f t="shared" ref="CS385:CT385" si="1608">(CS383/CI383)^(1/2)-1</f>
        <v>0.205165383152504</v>
      </c>
      <c r="CT385" s="254">
        <f t="shared" si="1608"/>
        <v>0.250335512656952</v>
      </c>
      <c r="CU385" s="255"/>
      <c r="CV385" s="255"/>
      <c r="CW385" s="255"/>
      <c r="CX385" s="255"/>
      <c r="CY385" s="254"/>
      <c r="CZ385" s="255"/>
      <c r="DA385" s="255"/>
      <c r="DB385" s="255"/>
      <c r="DC385" s="255"/>
      <c r="DD385" s="254"/>
      <c r="DE385" s="255"/>
      <c r="DF385" s="255"/>
      <c r="DG385" s="255"/>
      <c r="DH385" s="255"/>
      <c r="DI385" s="254"/>
      <c r="DJ385" s="255"/>
      <c r="DK385" s="255"/>
      <c r="DL385" s="255"/>
      <c r="DM385" s="255"/>
      <c r="DN385" s="254"/>
      <c r="DO385" s="255"/>
      <c r="DP385" s="255"/>
      <c r="DQ385" s="255"/>
      <c r="DR385" s="255"/>
      <c r="DS385" s="254"/>
    </row>
    <row r="386" s="4" customFormat="1" hidden="1" outlineLevel="1" spans="2:123">
      <c r="B386" s="149" t="s">
        <v>287</v>
      </c>
      <c r="C386" s="150"/>
      <c r="D386" s="151"/>
      <c r="E386" s="151"/>
      <c r="F386" s="151"/>
      <c r="G386" s="151"/>
      <c r="H386" s="254"/>
      <c r="I386" s="255"/>
      <c r="J386" s="255"/>
      <c r="K386" s="255"/>
      <c r="L386" s="255"/>
      <c r="M386" s="254"/>
      <c r="N386" s="255">
        <f>(1+N384)/(1+N390)-1</f>
        <v>0.644736446009814</v>
      </c>
      <c r="O386" s="255">
        <f>(1+O384)/(1+O390)-1</f>
        <v>0.902936614650677</v>
      </c>
      <c r="P386" s="255">
        <f>(1+P384)/(1+P390)-1</f>
        <v>0.904120371771971</v>
      </c>
      <c r="Q386" s="255">
        <f>(1+Q384)/(1+Q390)-1</f>
        <v>1.01679612109398</v>
      </c>
      <c r="R386" s="254">
        <f>SUMPRODUCT(N386:Q386,I$383:L$383)/M$383</f>
        <v>0.896046931174122</v>
      </c>
      <c r="S386" s="255">
        <f>(1+S384)/(1+S390)-1</f>
        <v>0.668850965586192</v>
      </c>
      <c r="T386" s="255">
        <f>(1+T384)/(1+T390)-1</f>
        <v>0.412094225797184</v>
      </c>
      <c r="U386" s="255">
        <f>(1+U384)/(1+U390)-1</f>
        <v>0.374808354059487</v>
      </c>
      <c r="V386" s="255">
        <f>(1+V384)/(1+V390)-1</f>
        <v>0.135467481081081</v>
      </c>
      <c r="W386" s="254">
        <f>SUMPRODUCT(S386:V386,N$383:Q$383)/R$383</f>
        <v>0.337917658959844</v>
      </c>
      <c r="X386" s="255">
        <f>(1+X384)/(1+X390)-1</f>
        <v>0.188161508946821</v>
      </c>
      <c r="Y386" s="255">
        <f>(1+Y384)/(1+Y390)-1</f>
        <v>0.183453952036327</v>
      </c>
      <c r="Z386" s="255">
        <f>(1+Z384)/(1+Z390)-1</f>
        <v>0.252786291446085</v>
      </c>
      <c r="AA386" s="255">
        <f>(1+AA384)/(1+AA390)-1</f>
        <v>0.410913331509888</v>
      </c>
      <c r="AB386" s="254">
        <f>SUMPRODUCT(X386:AA386,S$383:V$383)/W$383</f>
        <v>0.265746716628772</v>
      </c>
      <c r="AC386" s="255">
        <f>(1+AC384)/(1+AC390)-1</f>
        <v>0.43477546137466</v>
      </c>
      <c r="AD386" s="255">
        <f>(1+AD384)/(1+AD390)-1</f>
        <v>0.443433982186345</v>
      </c>
      <c r="AE386" s="255">
        <f>(1+AE384)/(1+AE390)-1</f>
        <v>0.426559169678436</v>
      </c>
      <c r="AF386" s="255">
        <f>(1+AF384)/(1+AF390)-1</f>
        <v>0.421941760336554</v>
      </c>
      <c r="AG386" s="254">
        <f>SUMPRODUCT(AC386:AF386,X$383:AA$383)/AB$383</f>
        <v>0.430089479970666</v>
      </c>
      <c r="AH386" s="255">
        <f>(1+AH384)/(1+AH390)-1</f>
        <v>0.319710908144152</v>
      </c>
      <c r="AI386" s="255">
        <f>(1+AI384)/(1+AI390)-1</f>
        <v>0.322210819165379</v>
      </c>
      <c r="AJ386" s="255">
        <f>(1+AJ384)/(1+AJ390)-1</f>
        <v>0.304437079821987</v>
      </c>
      <c r="AK386" s="255">
        <f>(1+AK384)/(1+AK390)-1</f>
        <v>0.453698433136094</v>
      </c>
      <c r="AL386" s="254">
        <f>SUMPRODUCT(AH386:AK386,AC$383:AF$383)/AG$383</f>
        <v>0.362535061801072</v>
      </c>
      <c r="AM386" s="255">
        <f>(1+AM384)/(1+AM390)-1</f>
        <v>0.473700144285272</v>
      </c>
      <c r="AN386" s="255">
        <f>(1+AN384)/(1+AN390)-1</f>
        <v>0.320862363989749</v>
      </c>
      <c r="AO386" s="255">
        <f>(1+AO384)/(1+AO390)-1</f>
        <v>0.326446194004715</v>
      </c>
      <c r="AP386" s="255">
        <f>(1+AP384)/(1+AP390)-1</f>
        <v>0.279750916609001</v>
      </c>
      <c r="AQ386" s="254">
        <f>SUMPRODUCT(AM386:AP386,AH$383:AK$383)/AL$383</f>
        <v>0.336716629782865</v>
      </c>
      <c r="AR386" s="255">
        <f>(1+AR384)/(1+AR390)-1</f>
        <v>0.189208300127095</v>
      </c>
      <c r="AS386" s="255">
        <f>(1+AS384)/(1+AS390)-1</f>
        <v>0.195488960172464</v>
      </c>
      <c r="AT386" s="255">
        <f>(1+AT384)/(1+AT390)-1</f>
        <v>0.188892781885421</v>
      </c>
      <c r="AU386" s="255">
        <f>(1+AU384)/(1+AU390)-1</f>
        <v>0.0777683577978889</v>
      </c>
      <c r="AV386" s="254">
        <f>SUMPRODUCT(AR386:AU386,AM$383:AP$383)/AQ$383</f>
        <v>0.151824980484209</v>
      </c>
      <c r="AW386" s="255">
        <f>(1+AW384)/(1+AW390)-1</f>
        <v>0.102667984148122</v>
      </c>
      <c r="AX386" s="255">
        <f>(1+AX384)/(1+AX390)-1</f>
        <v>0.0959674480820647</v>
      </c>
      <c r="AY386" s="255">
        <f>(1+AY384)/(1+AY390)-1</f>
        <v>0.0883309927082307</v>
      </c>
      <c r="AZ386" s="255">
        <f>(1+AZ384)/(1+AZ390)-1</f>
        <v>0.189690638175236</v>
      </c>
      <c r="BA386" s="254">
        <f>SUMPRODUCT(AW386:AZ386,AR$383:AU$383)/AV$383</f>
        <v>0.125768394108706</v>
      </c>
      <c r="BB386" s="255">
        <f>(1+BB384)/(1+BB390)-1</f>
        <v>0.135647741590623</v>
      </c>
      <c r="BC386" s="255">
        <f>(1+BC384)/(1+BC390)-1</f>
        <v>0.216372280176703</v>
      </c>
      <c r="BD386" s="255">
        <f>(1+BD384)/(1+BD390)-1</f>
        <v>0.212707758290669</v>
      </c>
      <c r="BE386" s="255">
        <f>(1+BE384)/(1+BE390)-1</f>
        <v>0.162675594389751</v>
      </c>
      <c r="BF386" s="254">
        <f>SUMPRODUCT(BB386:BE386,AW$383:AZ$383)/BA$383</f>
        <v>0.180115482634734</v>
      </c>
      <c r="BG386" s="255">
        <f>(1+BG384)/(1+BG390)-1</f>
        <v>0.165334230503984</v>
      </c>
      <c r="BH386" s="255">
        <f>(1+BH384)/(1+BH390)-1</f>
        <v>0.133799952738145</v>
      </c>
      <c r="BI386" s="255">
        <f>(1+BI384)/(1+BI390)-1</f>
        <v>0.113489285481849</v>
      </c>
      <c r="BJ386" s="255">
        <f>(1+BJ384)/(1+BJ390)-1</f>
        <v>0.121219681328589</v>
      </c>
      <c r="BK386" s="254">
        <f>SUMPRODUCT(BG386:BJ386,BB$383:BE$383)/BF$383</f>
        <v>0.131374980091532</v>
      </c>
      <c r="BL386" s="255">
        <f>(1+BL384)/(1+BL390)-1</f>
        <v>0.0675327925762823</v>
      </c>
      <c r="BM386" s="255">
        <f>(1+BM384)/(1+BM390)-1</f>
        <v>0.0853590428669941</v>
      </c>
      <c r="BN386" s="255">
        <f>(1+BN384)/(1+BN390)-1</f>
        <v>0.0695925579506054</v>
      </c>
      <c r="BO386" s="255">
        <f>(1+BO384)/(1+BO390)-1</f>
        <v>0.0736113680889676</v>
      </c>
      <c r="BP386" s="254">
        <f>SUMPRODUCT(BL386:BO386,BG$383:BJ$383)/BK$383</f>
        <v>0.0740329925977461</v>
      </c>
      <c r="BQ386" s="255">
        <f>(1+BQ384)/(1+BQ390)-1</f>
        <v>0.120096468153153</v>
      </c>
      <c r="BR386" s="255">
        <f>(1+BR384)/(1+BR390)-1</f>
        <v>0.17503816941422</v>
      </c>
      <c r="BS386" s="255">
        <f>(1+BS384)/(1+BS390)-1</f>
        <v>0.133130885424463</v>
      </c>
      <c r="BT386" s="255">
        <f>(1+BT384)/(1+BT390)-1</f>
        <v>0.191370809402801</v>
      </c>
      <c r="BU386" s="254">
        <f>SUMPRODUCT(BQ386:BT386,BL$383:BO$383)/BP$383</f>
        <v>0.159505130970655</v>
      </c>
      <c r="BV386" s="255">
        <f>(1+BV384)/(1+BV390)-1</f>
        <v>0.193103857723363</v>
      </c>
      <c r="BW386" s="255">
        <f>(1+BW384)/(1+BW390)-1</f>
        <v>0.21227904040404</v>
      </c>
      <c r="BX386" s="255">
        <f>(1+BX384)/(1+BX390)-1</f>
        <v>0.227472776740198</v>
      </c>
      <c r="BY386" s="255">
        <f>(1+BY384)/(1+BY390)-1</f>
        <v>0.138957156908678</v>
      </c>
      <c r="BZ386" s="254">
        <f>SUMPRODUCT(BV386:BY386,BQ$383:BT$383)/BU$383</f>
        <v>0.186609813782126</v>
      </c>
      <c r="CA386" s="255">
        <f>(1+CA384)/(1+CA390)-1</f>
        <v>-0.482951058474582</v>
      </c>
      <c r="CB386" s="255">
        <f>(1+CB384)/(1+CB390)-1</f>
        <v>-0.508013622129794</v>
      </c>
      <c r="CC386" s="255">
        <f>(1+CC384)/(1+CC390)-1</f>
        <v>-0.125644333199498</v>
      </c>
      <c r="CD386" s="255">
        <f>(1+CD384)/(1+CD390)-1</f>
        <v>-0.285612720521511</v>
      </c>
      <c r="CE386" s="254">
        <f>SUMPRODUCT(CA386:CD386,BV$383:BY$383)/BZ$383</f>
        <v>-0.340414152563618</v>
      </c>
      <c r="CF386" s="255">
        <f>(1+CF384)/(1+CF390)-1</f>
        <v>1.08487148672555</v>
      </c>
      <c r="CG386" s="255">
        <f>(1+CG384)/(1+CG390)-1</f>
        <v>1.36130171886677</v>
      </c>
      <c r="CH386" s="255">
        <f>(1+CH384)/(1+CH390)-1</f>
        <v>0.368148914407616</v>
      </c>
      <c r="CI386" s="255">
        <f>(1+CI384)/(1+CI390)-1</f>
        <v>0.471346817118729</v>
      </c>
      <c r="CJ386" s="254">
        <f>SUMPRODUCT(CF386:CI386,CA$383:CD$383)/CE$383</f>
        <v>0.689745286765827</v>
      </c>
      <c r="CK386" s="255">
        <f>(1+CK384)/(1+CK390)-1</f>
        <v>0.363447288774917</v>
      </c>
      <c r="CL386" s="255">
        <f>(1+CL384)/(1+CL390)-1</f>
        <v>0.32568066356477</v>
      </c>
      <c r="CM386" s="255">
        <f>(1+CM384)/(1+CM390)-1</f>
        <v>0.316519162172139</v>
      </c>
      <c r="CN386" s="255">
        <f>(1+CN384)/(1+CN390)-1</f>
        <v>0.283712413625493</v>
      </c>
      <c r="CO386" s="254">
        <f>SUMPRODUCT(CK386:CN386,CF$383:CI$383)/CJ$383</f>
        <v>0.317438144486527</v>
      </c>
      <c r="CP386" s="255">
        <f>(1+CP384)/(1+CP390)-1</f>
        <v>0.350072657750683</v>
      </c>
      <c r="CQ386" s="255">
        <f>(1+CQ384)/(1+CQ390)-1</f>
        <v>0.239457444054141</v>
      </c>
      <c r="CR386" s="255">
        <f>(1+CR384)/(1+CR390)-1</f>
        <v>0.189259849843864</v>
      </c>
      <c r="CS386" s="255">
        <f>(1+CS384)/(1+CS390)-1</f>
        <v>0.166176501330223</v>
      </c>
      <c r="CT386" s="254">
        <f>SUMPRODUCT(CP386:CS386,CK$383:CN$383)/CO$383</f>
        <v>0.226909898561967</v>
      </c>
      <c r="CU386" s="255"/>
      <c r="CV386" s="255"/>
      <c r="CW386" s="255"/>
      <c r="CX386" s="255"/>
      <c r="CY386" s="254"/>
      <c r="CZ386" s="255"/>
      <c r="DA386" s="255"/>
      <c r="DB386" s="255"/>
      <c r="DC386" s="255"/>
      <c r="DD386" s="254"/>
      <c r="DE386" s="255"/>
      <c r="DF386" s="255"/>
      <c r="DG386" s="255"/>
      <c r="DH386" s="255"/>
      <c r="DI386" s="254"/>
      <c r="DJ386" s="255"/>
      <c r="DK386" s="255"/>
      <c r="DL386" s="255"/>
      <c r="DM386" s="255"/>
      <c r="DN386" s="254"/>
      <c r="DO386" s="255"/>
      <c r="DP386" s="255"/>
      <c r="DQ386" s="255"/>
      <c r="DR386" s="255"/>
      <c r="DS386" s="254"/>
    </row>
    <row r="387" hidden="1" outlineLevel="1" spans="2:123">
      <c r="B387" s="245"/>
      <c r="C387" s="246"/>
      <c r="D387" s="247"/>
      <c r="E387" s="247"/>
      <c r="F387" s="247"/>
      <c r="G387" s="247"/>
      <c r="H387" s="246"/>
      <c r="I387" s="247"/>
      <c r="J387" s="247"/>
      <c r="K387" s="247"/>
      <c r="L387" s="247"/>
      <c r="M387" s="246"/>
      <c r="N387" s="247"/>
      <c r="O387" s="247"/>
      <c r="P387" s="247"/>
      <c r="Q387" s="247"/>
      <c r="R387" s="246"/>
      <c r="S387" s="247"/>
      <c r="T387" s="247"/>
      <c r="U387" s="247"/>
      <c r="V387" s="247"/>
      <c r="W387" s="246"/>
      <c r="X387" s="247"/>
      <c r="Y387" s="247"/>
      <c r="Z387" s="247"/>
      <c r="AA387" s="247"/>
      <c r="AB387" s="246"/>
      <c r="AC387" s="247"/>
      <c r="AD387" s="247"/>
      <c r="AE387" s="247"/>
      <c r="AF387" s="247"/>
      <c r="AG387" s="246"/>
      <c r="AH387" s="247"/>
      <c r="AI387" s="247"/>
      <c r="AJ387" s="247"/>
      <c r="AK387" s="247"/>
      <c r="AL387" s="246"/>
      <c r="AM387" s="247"/>
      <c r="AN387" s="247"/>
      <c r="AO387" s="247"/>
      <c r="AP387" s="247"/>
      <c r="AQ387" s="246"/>
      <c r="AR387" s="247"/>
      <c r="AS387" s="247"/>
      <c r="AT387" s="247"/>
      <c r="AU387" s="247"/>
      <c r="AV387" s="246"/>
      <c r="AW387" s="247"/>
      <c r="AX387" s="247"/>
      <c r="AY387" s="247"/>
      <c r="AZ387" s="247"/>
      <c r="BA387" s="246"/>
      <c r="BB387" s="247"/>
      <c r="BC387" s="247"/>
      <c r="BD387" s="247"/>
      <c r="BE387" s="247"/>
      <c r="BF387" s="246"/>
      <c r="BG387" s="247"/>
      <c r="BH387" s="247"/>
      <c r="BI387" s="247"/>
      <c r="BJ387" s="247"/>
      <c r="BK387" s="246"/>
      <c r="BL387" s="247"/>
      <c r="BM387" s="247"/>
      <c r="BN387" s="247"/>
      <c r="BO387" s="247"/>
      <c r="BP387" s="246"/>
      <c r="BQ387" s="261"/>
      <c r="BR387" s="261"/>
      <c r="BS387" s="261"/>
      <c r="BT387" s="261"/>
      <c r="BU387" s="246"/>
      <c r="BV387" s="261"/>
      <c r="BW387" s="261"/>
      <c r="BX387" s="261"/>
      <c r="BY387" s="261"/>
      <c r="BZ387" s="246"/>
      <c r="CA387" s="261"/>
      <c r="CB387" s="261"/>
      <c r="CC387" s="382"/>
      <c r="CD387" s="261"/>
      <c r="CE387" s="246"/>
      <c r="CF387" s="383"/>
      <c r="CG387" s="383"/>
      <c r="CH387" s="383"/>
      <c r="CI387" s="383"/>
      <c r="CJ387" s="246"/>
      <c r="CK387" s="247"/>
      <c r="CL387" s="247"/>
      <c r="CM387" s="247"/>
      <c r="CN387" s="247"/>
      <c r="CO387" s="246"/>
      <c r="CP387" s="247"/>
      <c r="CQ387" s="247"/>
      <c r="CR387" s="247"/>
      <c r="CS387" s="247"/>
      <c r="CT387" s="246"/>
      <c r="CU387" s="247"/>
      <c r="CV387" s="247"/>
      <c r="CW387" s="247"/>
      <c r="CX387" s="247"/>
      <c r="CY387" s="246"/>
      <c r="CZ387" s="247"/>
      <c r="DA387" s="247"/>
      <c r="DB387" s="247"/>
      <c r="DC387" s="247"/>
      <c r="DD387" s="246"/>
      <c r="DE387" s="247"/>
      <c r="DF387" s="247"/>
      <c r="DG387" s="247"/>
      <c r="DH387" s="247"/>
      <c r="DI387" s="246"/>
      <c r="DJ387" s="247"/>
      <c r="DK387" s="247"/>
      <c r="DL387" s="247"/>
      <c r="DM387" s="247"/>
      <c r="DN387" s="246"/>
      <c r="DO387" s="247"/>
      <c r="DP387" s="247"/>
      <c r="DQ387" s="247"/>
      <c r="DR387" s="247"/>
      <c r="DS387" s="246"/>
    </row>
    <row r="388" s="85" customFormat="1" hidden="1" outlineLevel="1" spans="2:123">
      <c r="B388" s="384" t="s">
        <v>438</v>
      </c>
      <c r="C388" s="385">
        <v>0.18</v>
      </c>
      <c r="D388" s="386">
        <v>0.22</v>
      </c>
      <c r="E388" s="386">
        <v>0.09</v>
      </c>
      <c r="F388" s="386">
        <v>0.21</v>
      </c>
      <c r="G388" s="386">
        <v>0.22</v>
      </c>
      <c r="H388" s="385">
        <v>0.19</v>
      </c>
      <c r="I388" s="386">
        <v>0.15</v>
      </c>
      <c r="J388" s="386">
        <v>0.32</v>
      </c>
      <c r="K388" s="386">
        <v>0.29</v>
      </c>
      <c r="L388" s="386">
        <v>0.23</v>
      </c>
      <c r="M388" s="385">
        <f>SUMPRODUCT(I388:L388,D$383:G$383)/H$383</f>
        <v>0.249274898211263</v>
      </c>
      <c r="N388" s="386">
        <v>0.15</v>
      </c>
      <c r="O388" s="386">
        <v>0.25</v>
      </c>
      <c r="P388" s="386">
        <v>0.26</v>
      </c>
      <c r="Q388" s="386">
        <v>0.31</v>
      </c>
      <c r="R388" s="385">
        <f>SUMPRODUCT(N388:Q388,I$383:L$383)/M$383</f>
        <v>0.255247651862773</v>
      </c>
      <c r="S388" s="386">
        <v>0.15</v>
      </c>
      <c r="T388" s="386">
        <v>0.13</v>
      </c>
      <c r="U388" s="386">
        <v>0.04</v>
      </c>
      <c r="V388" s="386">
        <v>-0.08</v>
      </c>
      <c r="W388" s="385">
        <f>SUMPRODUCT(S388:V388,N$383:Q$383)/R$383</f>
        <v>0.0312112949061222</v>
      </c>
      <c r="X388" s="386">
        <v>-0.08</v>
      </c>
      <c r="Y388" s="386">
        <v>-0.02</v>
      </c>
      <c r="Z388" s="386">
        <v>0.1</v>
      </c>
      <c r="AA388" s="386">
        <v>0.29</v>
      </c>
      <c r="AB388" s="385">
        <f>SUMPRODUCT(X388:AA388,S$383:V$383)/W$383</f>
        <v>0.0835685199494164</v>
      </c>
      <c r="AC388" s="386">
        <v>0.35</v>
      </c>
      <c r="AD388" s="386">
        <v>0.31</v>
      </c>
      <c r="AE388" s="386">
        <v>0.29</v>
      </c>
      <c r="AF388" s="386">
        <v>0.28</v>
      </c>
      <c r="AG388" s="385">
        <f>SUMPRODUCT(AC388:AF388,X$383:AA$383)/AB$383</f>
        <v>0.3017928701932</v>
      </c>
      <c r="AH388" s="386">
        <v>0.16</v>
      </c>
      <c r="AI388" s="386">
        <v>0.2</v>
      </c>
      <c r="AJ388" s="386">
        <v>0.16</v>
      </c>
      <c r="AK388" s="386">
        <v>0.25</v>
      </c>
      <c r="AL388" s="385">
        <f>SUMPRODUCT(AH388:AK388,AC$383:AF$383)/AG$383</f>
        <v>0.19964148718183</v>
      </c>
      <c r="AM388" s="386">
        <v>0.25</v>
      </c>
      <c r="AN388" s="386">
        <v>0.15</v>
      </c>
      <c r="AO388" s="386">
        <v>0.18</v>
      </c>
      <c r="AP388" s="386">
        <v>0.1</v>
      </c>
      <c r="AQ388" s="385">
        <f>SUMPRODUCT(AM388:AP388,AH$383:AK$383)/AL$383</f>
        <v>0.158231631926647</v>
      </c>
      <c r="AR388" s="386">
        <v>0.07</v>
      </c>
      <c r="AS388" s="386">
        <v>0.07</v>
      </c>
      <c r="AT388" s="386">
        <v>0.05</v>
      </c>
      <c r="AU388" s="386">
        <v>-0.02</v>
      </c>
      <c r="AV388" s="385">
        <f>SUMPRODUCT(AR388:AU388,AM$383:AP$383)/AQ$383</f>
        <v>0.034167601526719</v>
      </c>
      <c r="AW388" s="386">
        <v>-0.04</v>
      </c>
      <c r="AX388" s="386">
        <v>-0.05</v>
      </c>
      <c r="AY388" s="386">
        <v>-0.03</v>
      </c>
      <c r="AZ388" s="386">
        <v>0.05</v>
      </c>
      <c r="BA388" s="385">
        <f>SUMPRODUCT(AW388:AZ388,AR$383:AU$383)/AV$383</f>
        <v>-0.0109212944843731</v>
      </c>
      <c r="BB388" s="386">
        <v>-0.005</v>
      </c>
      <c r="BC388" s="386">
        <v>0.06</v>
      </c>
      <c r="BD388" s="386">
        <v>0.06</v>
      </c>
      <c r="BE388" s="386">
        <v>0.05</v>
      </c>
      <c r="BF388" s="385">
        <f>SUMPRODUCT(BB388:BE388,AW$383:AZ$383)/BA$383</f>
        <v>0.0427274638877042</v>
      </c>
      <c r="BG388" s="386">
        <v>0.05</v>
      </c>
      <c r="BH388" s="386">
        <v>0.04</v>
      </c>
      <c r="BI388" s="386">
        <v>0.04</v>
      </c>
      <c r="BJ388" s="386">
        <v>0.06</v>
      </c>
      <c r="BK388" s="385">
        <f>SUMPRODUCT(BG388:BJ388,BB$383:BE$383)/BF$383</f>
        <v>0.0487857006719545</v>
      </c>
      <c r="BL388" s="386">
        <v>-0.01</v>
      </c>
      <c r="BM388" s="386">
        <v>0.02</v>
      </c>
      <c r="BN388" s="386">
        <v>0.01</v>
      </c>
      <c r="BO388" s="386">
        <v>0.01</v>
      </c>
      <c r="BP388" s="385">
        <f>SUMPRODUCT(BL388:BO388,BG$383:BJ$383)/BK$383</f>
        <v>0.00802847056103856</v>
      </c>
      <c r="BQ388" s="386">
        <v>0.06</v>
      </c>
      <c r="BR388" s="386">
        <v>0.1</v>
      </c>
      <c r="BS388" s="386">
        <v>0.07</v>
      </c>
      <c r="BT388" s="386">
        <v>0.07</v>
      </c>
      <c r="BU388" s="387">
        <f>SUMPRODUCT(BQ388:BT388,BL$383:BO$383)/BP$383</f>
        <v>0.0746963135865628</v>
      </c>
      <c r="BV388" s="386">
        <v>0.08</v>
      </c>
      <c r="BW388" s="386">
        <v>0.11</v>
      </c>
      <c r="BX388" s="386">
        <v>0.11</v>
      </c>
      <c r="BY388" s="386">
        <v>0.09</v>
      </c>
      <c r="BZ388" s="385">
        <f>SUMPRODUCT(BV388:BY388,BQ$383:BT$383)/BU$383</f>
        <v>0.097023419801793</v>
      </c>
      <c r="CA388" s="388">
        <v>-0.491392673846425</v>
      </c>
      <c r="CB388" s="388">
        <v>-0.522740310020072</v>
      </c>
      <c r="CC388" s="386">
        <v>-0.18</v>
      </c>
      <c r="CD388" s="386">
        <v>-0.29</v>
      </c>
      <c r="CE388" s="385">
        <f>SUMPRODUCT(CA388:CD388,BV$383:BY$383)/BZ$383</f>
        <v>-0.359613275991685</v>
      </c>
      <c r="CF388" s="389">
        <v>0.9625</v>
      </c>
      <c r="CG388" s="389">
        <v>1.235</v>
      </c>
      <c r="CH388" s="386">
        <v>0.31</v>
      </c>
      <c r="CI388" s="386">
        <v>0.32</v>
      </c>
      <c r="CJ388" s="385">
        <f>SUMPRODUCT(CF388:CI388,CA$383:CD$383)/CE$383</f>
        <v>0.576028076201752</v>
      </c>
      <c r="CK388" s="386">
        <v>0.24</v>
      </c>
      <c r="CL388" s="386">
        <v>0.18</v>
      </c>
      <c r="CM388" s="386">
        <v>0.17</v>
      </c>
      <c r="CN388" s="386">
        <v>0.17</v>
      </c>
      <c r="CO388" s="385">
        <f>SUMPRODUCT(CK388:CN388,CF$383:CI$383)/CJ$383</f>
        <v>0.185776050798565</v>
      </c>
      <c r="CP388" s="386">
        <v>0.16</v>
      </c>
      <c r="CQ388" s="386">
        <v>0.09</v>
      </c>
      <c r="CR388" s="386">
        <v>0.09</v>
      </c>
      <c r="CS388" s="386">
        <v>0.06</v>
      </c>
      <c r="CT388" s="385">
        <f>SUMPRODUCT(CP388:CS388,CK$383:CN$383)/CO$383</f>
        <v>0.0949068193075515</v>
      </c>
      <c r="CU388" s="388"/>
      <c r="CV388" s="388"/>
      <c r="CW388" s="388"/>
      <c r="CX388" s="388"/>
      <c r="CY388" s="385"/>
      <c r="CZ388" s="388"/>
      <c r="DA388" s="388"/>
      <c r="DB388" s="390"/>
      <c r="DC388" s="390"/>
      <c r="DD388" s="385"/>
      <c r="DE388" s="390"/>
      <c r="DF388" s="390"/>
      <c r="DG388" s="390"/>
      <c r="DH388" s="390"/>
      <c r="DI388" s="385"/>
      <c r="DJ388" s="390"/>
      <c r="DK388" s="390"/>
      <c r="DL388" s="390"/>
      <c r="DM388" s="390"/>
      <c r="DN388" s="385"/>
      <c r="DO388" s="390"/>
      <c r="DP388" s="390"/>
      <c r="DQ388" s="390"/>
      <c r="DR388" s="390"/>
      <c r="DS388" s="385"/>
    </row>
    <row r="389" s="4" customFormat="1" hidden="1" outlineLevel="1" spans="2:123">
      <c r="B389" s="149" t="s">
        <v>439</v>
      </c>
      <c r="C389" s="150"/>
      <c r="D389" s="151"/>
      <c r="E389" s="151"/>
      <c r="F389" s="151"/>
      <c r="G389" s="151"/>
      <c r="H389" s="150"/>
      <c r="I389" s="151"/>
      <c r="J389" s="151"/>
      <c r="K389" s="151"/>
      <c r="L389" s="151"/>
      <c r="M389" s="254"/>
      <c r="N389" s="255">
        <f>N388+N390</f>
        <v>0.193478260869565</v>
      </c>
      <c r="O389" s="255">
        <f>O388+O390</f>
        <v>0.29</v>
      </c>
      <c r="P389" s="255">
        <f>P388+P390</f>
        <v>0.339365079365079</v>
      </c>
      <c r="Q389" s="255">
        <f>Q388+Q390</f>
        <v>0.386335877862595</v>
      </c>
      <c r="R389" s="254">
        <f>SUMPRODUCT(N389:Q389,I$383:L$383)/M$383</f>
        <v>0.318212758881455</v>
      </c>
      <c r="S389" s="255">
        <f>S388+S390</f>
        <v>0.26304347826087</v>
      </c>
      <c r="T389" s="255">
        <f>T388+T390</f>
        <v>0.17424778761062</v>
      </c>
      <c r="U389" s="255">
        <f>U388+U390</f>
        <v>-0.0176923076923077</v>
      </c>
      <c r="V389" s="255">
        <f>V388+V390</f>
        <v>-0.232173913043478</v>
      </c>
      <c r="W389" s="254">
        <f>SUMPRODUCT(S389:V389,N$383:Q$383)/R$383</f>
        <v>-0.0134925429284785</v>
      </c>
      <c r="X389" s="255">
        <f>X388+X390</f>
        <v>-0.221304347826087</v>
      </c>
      <c r="Y389" s="255">
        <f>Y388+Y390</f>
        <v>-0.101632653061224</v>
      </c>
      <c r="Z389" s="255">
        <f>Z388+Z390</f>
        <v>0.109090909090909</v>
      </c>
      <c r="AA389" s="255">
        <f>AA388+AA390</f>
        <v>0.39077519379845</v>
      </c>
      <c r="AB389" s="254">
        <f>SUMPRODUCT(X389:AA389,S$383:V$383)/W$383</f>
        <v>0.0623715428907299</v>
      </c>
      <c r="AC389" s="255">
        <f>AC388+AC390</f>
        <v>0.468518518518518</v>
      </c>
      <c r="AD389" s="255">
        <f>AD388+AD390</f>
        <v>0.363435114503817</v>
      </c>
      <c r="AE389" s="255">
        <f>AE388+AE390</f>
        <v>0.313255813953488</v>
      </c>
      <c r="AF389" s="255">
        <f>AF388+AF390</f>
        <v>0.31125</v>
      </c>
      <c r="AG389" s="254">
        <f>SUMPRODUCT(AC389:AF389,X$383:AA$383)/AB$383</f>
        <v>0.351820964550491</v>
      </c>
      <c r="AH389" s="255">
        <f>AH388+AH390</f>
        <v>0.185862068965517</v>
      </c>
      <c r="AI389" s="255">
        <f>AI388+AI390</f>
        <v>0.241666666666667</v>
      </c>
      <c r="AJ389" s="255">
        <f>AJ388+AJ390</f>
        <v>0.177241379310345</v>
      </c>
      <c r="AK389" s="255">
        <f>AK388+AK390</f>
        <v>0.242063492063492</v>
      </c>
      <c r="AL389" s="254">
        <f>SUMPRODUCT(AH389:AK389,AC$383:AF$383)/AG$383</f>
        <v>0.215277244995476</v>
      </c>
      <c r="AM389" s="255">
        <f>AM388+AM390</f>
        <v>0.242</v>
      </c>
      <c r="AN389" s="255">
        <f>AN388+AN390</f>
        <v>0.132608695652174</v>
      </c>
      <c r="AO389" s="255">
        <f>AO388+AO390</f>
        <v>0.18</v>
      </c>
      <c r="AP389" s="255">
        <f>AP388+AP390</f>
        <v>0.11</v>
      </c>
      <c r="AQ389" s="254">
        <f>SUMPRODUCT(AM389:AP389,AH$383:AK$383)/AL$383</f>
        <v>0.156485656116408</v>
      </c>
      <c r="AR389" s="255">
        <f>AR388+AR390</f>
        <v>0.06</v>
      </c>
      <c r="AS389" s="255">
        <f>AS388+AS390</f>
        <v>0.06</v>
      </c>
      <c r="AT389" s="255">
        <f>AT388+AT390</f>
        <v>0.02</v>
      </c>
      <c r="AU389" s="255">
        <f>AU388+AU390</f>
        <v>-0.05</v>
      </c>
      <c r="AV389" s="254">
        <f>SUMPRODUCT(AR389:AU389,AM$383:AP$383)/AQ$383</f>
        <v>0.0126084567608498</v>
      </c>
      <c r="AW389" s="255">
        <f>AW388+AW390</f>
        <v>-0.07</v>
      </c>
      <c r="AX389" s="255">
        <f>AX388+AX390</f>
        <v>-0.07</v>
      </c>
      <c r="AY389" s="255">
        <f>AY388+AY390</f>
        <v>-0.05</v>
      </c>
      <c r="AZ389" s="255">
        <f>AZ388+AZ390</f>
        <v>0.02</v>
      </c>
      <c r="BA389" s="254">
        <f>SUMPRODUCT(AW389:AZ389,AR$383:AU$383)/AV$383</f>
        <v>-0.036328662594518</v>
      </c>
      <c r="BB389" s="255">
        <f>BB388+BB390</f>
        <v>-0.045</v>
      </c>
      <c r="BC389" s="255">
        <f>BC388+BC390</f>
        <v>0.00999999999999999</v>
      </c>
      <c r="BD389" s="255">
        <f>BD388+BD390</f>
        <v>0</v>
      </c>
      <c r="BE389" s="255">
        <f>BE388+BE390</f>
        <v>0.01</v>
      </c>
      <c r="BF389" s="254">
        <f>SUMPRODUCT(BB389:BE389,AW$383:AZ$383)/BA$383</f>
        <v>-0.00405232435238925</v>
      </c>
      <c r="BG389" s="255">
        <f>BG388+BG390</f>
        <v>0.03</v>
      </c>
      <c r="BH389" s="255">
        <f>BH388+BH390</f>
        <v>0.03</v>
      </c>
      <c r="BI389" s="255">
        <f>BI388+BI390</f>
        <v>0.04</v>
      </c>
      <c r="BJ389" s="255">
        <f>BJ388+BJ390</f>
        <v>0.06</v>
      </c>
      <c r="BK389" s="254">
        <f>SUMPRODUCT(BG389:BJ389,BB$383:BE$383)/BF$383</f>
        <v>0.0424020541797493</v>
      </c>
      <c r="BL389" s="255">
        <f>BL388+BL390</f>
        <v>-0.02</v>
      </c>
      <c r="BM389" s="255">
        <f>BM388+BM390</f>
        <v>0.02</v>
      </c>
      <c r="BN389" s="255">
        <f>BN388+BN390</f>
        <v>0.02</v>
      </c>
      <c r="BO389" s="275">
        <f>BO388+BO390</f>
        <v>0.02</v>
      </c>
      <c r="BP389" s="254">
        <f>SUMPRODUCT(BL389:BO389,BG$383:BJ$383)/BK$383</f>
        <v>0.0115814820486553</v>
      </c>
      <c r="BQ389" s="275">
        <f>BQ388+BQ390</f>
        <v>0.08</v>
      </c>
      <c r="BR389" s="275">
        <f>BR388+BR390</f>
        <v>0.1</v>
      </c>
      <c r="BS389" s="275">
        <f>BS388+BS390</f>
        <v>0.06</v>
      </c>
      <c r="BT389" s="275">
        <f>BT388+BT390</f>
        <v>0.06</v>
      </c>
      <c r="BU389" s="391">
        <f>SUMPRODUCT(BQ389:BT389,BL$383:BO$383)/BP$383</f>
        <v>0.0731405416204193</v>
      </c>
      <c r="BV389" s="275">
        <f>BV388+BV390</f>
        <v>0.06</v>
      </c>
      <c r="BW389" s="275">
        <f>BW388+BW390</f>
        <v>0.1</v>
      </c>
      <c r="BX389" s="275">
        <f>BX388+BX390</f>
        <v>0.1</v>
      </c>
      <c r="BY389" s="275">
        <f>BY388+BY390</f>
        <v>0.09</v>
      </c>
      <c r="BZ389" s="254">
        <f>SUMPRODUCT(BV389:BY389,BQ$383:BT$383)/BU$383</f>
        <v>0.0884194467266408</v>
      </c>
      <c r="CA389" s="255">
        <f>CA388+CA390</f>
        <v>-0.498553243489924</v>
      </c>
      <c r="CB389" s="255">
        <f>CB388+CB390</f>
        <v>-0.522740310020072</v>
      </c>
      <c r="CC389" s="275">
        <f>CC388+CC390</f>
        <v>-0.17</v>
      </c>
      <c r="CD389" s="275">
        <f>CD388+CD390</f>
        <v>-0.28</v>
      </c>
      <c r="CE389" s="254">
        <f>SUMPRODUCT(CA389:CD389,BV$383:BY$383)/BZ$383</f>
        <v>-0.355421991273655</v>
      </c>
      <c r="CF389" s="255">
        <f>CF388+CF390</f>
        <v>0.9525</v>
      </c>
      <c r="CG389" s="255">
        <f>CG388+CG390</f>
        <v>1.26</v>
      </c>
      <c r="CH389" s="275">
        <f>CH388+CH390</f>
        <v>0.32</v>
      </c>
      <c r="CI389" s="255">
        <f>CI388+CI390</f>
        <v>0.32</v>
      </c>
      <c r="CJ389" s="254">
        <f>SUMPRODUCT(CF389:CI389,CA$383:CD$383)/CE$383</f>
        <v>0.581874362116871</v>
      </c>
      <c r="CK389" s="255">
        <f>CK388+CK390</f>
        <v>0.24</v>
      </c>
      <c r="CL389" s="255">
        <f>CL388+CL390</f>
        <v>0.16</v>
      </c>
      <c r="CM389" s="255">
        <f>CM388+CM390</f>
        <v>0.14</v>
      </c>
      <c r="CN389" s="255">
        <f>CN388+CN390</f>
        <v>0.15</v>
      </c>
      <c r="CO389" s="254">
        <f>SUMPRODUCT(CK389:CN389,CF$383:CI$383)/CJ$383</f>
        <v>0.167073262881371</v>
      </c>
      <c r="CP389" s="255">
        <f>CP388+CP390</f>
        <v>0.13</v>
      </c>
      <c r="CQ389" s="255">
        <f>CQ388+CQ390</f>
        <v>0.07</v>
      </c>
      <c r="CR389" s="255">
        <f>CR388+CR390</f>
        <v>0.09</v>
      </c>
      <c r="CS389" s="255">
        <f>CS388+CS390</f>
        <v>0.05</v>
      </c>
      <c r="CT389" s="254">
        <f>SUMPRODUCT(CP389:CS389,CK$383:CN$383)/CO$383</f>
        <v>0.0808959254982077</v>
      </c>
      <c r="CU389" s="392"/>
      <c r="CV389" s="392"/>
      <c r="CW389" s="392"/>
      <c r="CX389" s="392"/>
      <c r="CY389" s="254"/>
      <c r="CZ389" s="392"/>
      <c r="DA389" s="392"/>
      <c r="DB389" s="255"/>
      <c r="DC389" s="255"/>
      <c r="DD389" s="254"/>
      <c r="DE389" s="255"/>
      <c r="DF389" s="255"/>
      <c r="DG389" s="255"/>
      <c r="DH389" s="255"/>
      <c r="DI389" s="254"/>
      <c r="DJ389" s="255"/>
      <c r="DK389" s="255"/>
      <c r="DL389" s="255"/>
      <c r="DM389" s="255"/>
      <c r="DN389" s="254"/>
      <c r="DO389" s="255"/>
      <c r="DP389" s="255"/>
      <c r="DQ389" s="255"/>
      <c r="DR389" s="255"/>
      <c r="DS389" s="254"/>
    </row>
    <row r="390" s="4" customFormat="1" hidden="1" outlineLevel="1" spans="2:123">
      <c r="B390" s="149" t="s">
        <v>440</v>
      </c>
      <c r="C390" s="150"/>
      <c r="D390" s="151"/>
      <c r="E390" s="151"/>
      <c r="F390" s="151"/>
      <c r="G390" s="151"/>
      <c r="H390" s="150"/>
      <c r="I390" s="151"/>
      <c r="J390" s="151"/>
      <c r="K390" s="151"/>
      <c r="L390" s="151"/>
      <c r="M390" s="254"/>
      <c r="N390" s="392">
        <v>0.0434782608695652</v>
      </c>
      <c r="O390" s="392">
        <v>0.04</v>
      </c>
      <c r="P390" s="392">
        <v>0.0793650793650793</v>
      </c>
      <c r="Q390" s="392">
        <v>0.0763358778625953</v>
      </c>
      <c r="R390" s="254">
        <f>SUMPRODUCT(N390:Q390,I$383:L$383)/M$383</f>
        <v>0.0629651070186819</v>
      </c>
      <c r="S390" s="392">
        <v>0.11304347826087</v>
      </c>
      <c r="T390" s="392">
        <v>0.0442477876106195</v>
      </c>
      <c r="U390" s="392">
        <v>-0.0576923076923077</v>
      </c>
      <c r="V390" s="392">
        <v>-0.152173913043478</v>
      </c>
      <c r="W390" s="254">
        <f>SUMPRODUCT(S390:V390,N$383:Q$383)/R$383</f>
        <v>-0.0447038378346007</v>
      </c>
      <c r="X390" s="392">
        <v>-0.141304347826087</v>
      </c>
      <c r="Y390" s="392">
        <v>-0.0816326530612245</v>
      </c>
      <c r="Z390" s="392">
        <v>0.00909090909090904</v>
      </c>
      <c r="AA390" s="392">
        <v>0.10077519379845</v>
      </c>
      <c r="AB390" s="254">
        <f>SUMPRODUCT(X390:AA390,S$383:V$383)/W$383</f>
        <v>-0.0211969770586864</v>
      </c>
      <c r="AC390" s="392">
        <v>0.118518518518518</v>
      </c>
      <c r="AD390" s="392">
        <v>0.0534351145038168</v>
      </c>
      <c r="AE390" s="392">
        <v>0.0232558139534882</v>
      </c>
      <c r="AF390" s="392">
        <v>0.03125</v>
      </c>
      <c r="AG390" s="254">
        <f>SUMPRODUCT(AC390:AF390,X$383:AA$383)/AB$383</f>
        <v>0.0500280943572918</v>
      </c>
      <c r="AH390" s="392">
        <v>0.0258620689655173</v>
      </c>
      <c r="AI390" s="392">
        <v>0.0416666666666667</v>
      </c>
      <c r="AJ390" s="392">
        <v>0.0172413793103448</v>
      </c>
      <c r="AK390" s="392">
        <v>-0.00793650793650791</v>
      </c>
      <c r="AL390" s="254">
        <f>SUMPRODUCT(AH390:AK390,AC$383:AF$383)/AG$383</f>
        <v>0.0156357578136457</v>
      </c>
      <c r="AM390" s="255">
        <f>1.24/1.25-1</f>
        <v>-0.00800000000000001</v>
      </c>
      <c r="AN390" s="255">
        <f>1.13/1.15-1</f>
        <v>-0.0173913043478261</v>
      </c>
      <c r="AO390" s="255">
        <v>0</v>
      </c>
      <c r="AP390" s="275">
        <v>0.01</v>
      </c>
      <c r="AQ390" s="254">
        <f>SUMPRODUCT(AM390:AP390,AH$383:AK$383)/AL$383</f>
        <v>-0.00174597581023873</v>
      </c>
      <c r="AR390" s="275">
        <v>-0.01</v>
      </c>
      <c r="AS390" s="275">
        <v>-0.01</v>
      </c>
      <c r="AT390" s="275">
        <v>-0.03</v>
      </c>
      <c r="AU390" s="275">
        <v>-0.03</v>
      </c>
      <c r="AV390" s="254">
        <f>SUMPRODUCT(AR390:AU390,AM$383:AP$383)/AQ$383</f>
        <v>-0.0215591447658692</v>
      </c>
      <c r="AW390" s="275">
        <v>-0.03</v>
      </c>
      <c r="AX390" s="275">
        <v>-0.02</v>
      </c>
      <c r="AY390" s="275">
        <v>-0.02</v>
      </c>
      <c r="AZ390" s="275">
        <v>-0.03</v>
      </c>
      <c r="BA390" s="254">
        <f>SUMPRODUCT(AW390:AZ390,AR$383:AU$383)/AV$383</f>
        <v>-0.0254073681101449</v>
      </c>
      <c r="BB390" s="275">
        <v>-0.04</v>
      </c>
      <c r="BC390" s="275">
        <v>-0.05</v>
      </c>
      <c r="BD390" s="275">
        <v>-0.06</v>
      </c>
      <c r="BE390" s="275">
        <v>-0.04</v>
      </c>
      <c r="BF390" s="254">
        <f>SUMPRODUCT(BB390:BE390,AW$383:AZ$383)/BA$383</f>
        <v>-0.0467797882400935</v>
      </c>
      <c r="BG390" s="275">
        <v>-0.02</v>
      </c>
      <c r="BH390" s="275">
        <v>-0.01</v>
      </c>
      <c r="BI390" s="275">
        <v>0</v>
      </c>
      <c r="BJ390" s="275">
        <v>0</v>
      </c>
      <c r="BK390" s="254">
        <f>SUMPRODUCT(BG390:BJ390,BB$383:BE$383)/BF$383</f>
        <v>-0.00638364649220516</v>
      </c>
      <c r="BL390" s="275">
        <v>-0.01</v>
      </c>
      <c r="BM390" s="275">
        <v>0</v>
      </c>
      <c r="BN390" s="275">
        <v>0.01</v>
      </c>
      <c r="BO390" s="275">
        <v>0.01</v>
      </c>
      <c r="BP390" s="254">
        <f>SUMPRODUCT(BL390:BO390,BG$383:BJ$383)/BK$383</f>
        <v>0.00355301148761674</v>
      </c>
      <c r="BQ390" s="275">
        <v>0.02</v>
      </c>
      <c r="BR390" s="275">
        <v>0</v>
      </c>
      <c r="BS390" s="275">
        <v>-0.01</v>
      </c>
      <c r="BT390" s="154">
        <v>-0.01</v>
      </c>
      <c r="BU390" s="391">
        <f>SUMPRODUCT(BQ390:BT390,BL$383:BO$383)/BP$383</f>
        <v>-0.00155577196614342</v>
      </c>
      <c r="BV390" s="275">
        <v>-0.02</v>
      </c>
      <c r="BW390" s="275">
        <v>-0.01</v>
      </c>
      <c r="BX390" s="154">
        <v>-0.01</v>
      </c>
      <c r="BY390" s="275">
        <v>0</v>
      </c>
      <c r="BZ390" s="254">
        <f>SUMPRODUCT(BV390:BY390,BQ$383:BT$383)/BU$383</f>
        <v>-0.00860397307515227</v>
      </c>
      <c r="CA390" s="392">
        <f>(CA17*BV13-CA466*BV461)/BV383</f>
        <v>-0.0071605696434989</v>
      </c>
      <c r="CB390" s="392">
        <v>0</v>
      </c>
      <c r="CC390" s="154">
        <v>0.01</v>
      </c>
      <c r="CD390" s="275">
        <v>0.01</v>
      </c>
      <c r="CE390" s="254">
        <f>SUMPRODUCT(CA390:CD390,BV$383:BY$383)/BZ$383</f>
        <v>0.00419128471802959</v>
      </c>
      <c r="CF390" s="392">
        <v>-0.01</v>
      </c>
      <c r="CG390" s="392">
        <v>0.025</v>
      </c>
      <c r="CH390" s="275">
        <v>0.01</v>
      </c>
      <c r="CI390" s="275">
        <v>0</v>
      </c>
      <c r="CJ390" s="254">
        <f>SUMPRODUCT(CF390:CI390,CA$383:CD$383)/CE$383</f>
        <v>0.00584628591511852</v>
      </c>
      <c r="CK390" s="275">
        <v>0</v>
      </c>
      <c r="CL390" s="275">
        <v>-0.02</v>
      </c>
      <c r="CM390" s="275">
        <v>-0.03</v>
      </c>
      <c r="CN390" s="275">
        <v>-0.02</v>
      </c>
      <c r="CO390" s="254">
        <f>SUMPRODUCT(CK390:CN390,CF$383:CI$383)/CJ$383</f>
        <v>-0.0187027879171943</v>
      </c>
      <c r="CP390" s="275">
        <v>-0.03</v>
      </c>
      <c r="CQ390" s="275">
        <v>-0.02</v>
      </c>
      <c r="CR390" s="275">
        <v>0</v>
      </c>
      <c r="CS390" s="275">
        <v>-0.01</v>
      </c>
      <c r="CT390" s="254">
        <f>SUMPRODUCT(CP390:CS390,CK$383:CN$383)/CO$383</f>
        <v>-0.0140108938093438</v>
      </c>
      <c r="CU390" s="392"/>
      <c r="CV390" s="392"/>
      <c r="CW390" s="392"/>
      <c r="CX390" s="392"/>
      <c r="CY390" s="254"/>
      <c r="CZ390" s="392"/>
      <c r="DA390" s="392"/>
      <c r="DB390" s="393"/>
      <c r="DC390" s="393"/>
      <c r="DD390" s="254"/>
      <c r="DE390" s="393"/>
      <c r="DF390" s="393"/>
      <c r="DG390" s="393"/>
      <c r="DH390" s="393"/>
      <c r="DI390" s="254"/>
      <c r="DJ390" s="393"/>
      <c r="DK390" s="393"/>
      <c r="DL390" s="393"/>
      <c r="DM390" s="393"/>
      <c r="DN390" s="254"/>
      <c r="DO390" s="393"/>
      <c r="DP390" s="393"/>
      <c r="DQ390" s="393"/>
      <c r="DR390" s="393"/>
      <c r="DS390" s="254"/>
    </row>
    <row r="391" s="4" customFormat="1" hidden="1" outlineLevel="1" spans="2:123">
      <c r="B391" s="384" t="s">
        <v>441</v>
      </c>
      <c r="C391" s="380"/>
      <c r="D391" s="381"/>
      <c r="E391" s="381"/>
      <c r="F391" s="381"/>
      <c r="G391" s="381"/>
      <c r="H391" s="380"/>
      <c r="I391" s="381"/>
      <c r="J391" s="381"/>
      <c r="K391" s="381"/>
      <c r="L391" s="381"/>
      <c r="M391" s="385"/>
      <c r="N391" s="388"/>
      <c r="O391" s="388"/>
      <c r="P391" s="388"/>
      <c r="Q391" s="388"/>
      <c r="R391" s="385"/>
      <c r="S391" s="388"/>
      <c r="T391" s="388"/>
      <c r="U391" s="388"/>
      <c r="V391" s="388"/>
      <c r="W391" s="385"/>
      <c r="X391" s="388"/>
      <c r="Y391" s="388"/>
      <c r="Z391" s="388"/>
      <c r="AA391" s="388"/>
      <c r="AB391" s="385"/>
      <c r="AC391" s="388"/>
      <c r="AD391" s="388"/>
      <c r="AE391" s="388"/>
      <c r="AF391" s="388"/>
      <c r="AG391" s="385"/>
      <c r="AH391" s="388"/>
      <c r="AI391" s="388"/>
      <c r="AJ391" s="388"/>
      <c r="AK391" s="388"/>
      <c r="AL391" s="385"/>
      <c r="AM391" s="394"/>
      <c r="AN391" s="394"/>
      <c r="AO391" s="394"/>
      <c r="AP391" s="386"/>
      <c r="AQ391" s="385"/>
      <c r="AR391" s="386"/>
      <c r="AS391" s="386"/>
      <c r="AT391" s="386"/>
      <c r="AU391" s="386"/>
      <c r="AV391" s="385"/>
      <c r="AW391" s="386"/>
      <c r="AX391" s="386"/>
      <c r="AY391" s="386"/>
      <c r="AZ391" s="386"/>
      <c r="BA391" s="385"/>
      <c r="BB391" s="386"/>
      <c r="BC391" s="386"/>
      <c r="BD391" s="386"/>
      <c r="BE391" s="386"/>
      <c r="BF391" s="385"/>
      <c r="BG391" s="386"/>
      <c r="BH391" s="386"/>
      <c r="BI391" s="386"/>
      <c r="BJ391" s="386"/>
      <c r="BK391" s="385"/>
      <c r="BL391" s="386"/>
      <c r="BM391" s="386"/>
      <c r="BN391" s="386"/>
      <c r="BO391" s="386"/>
      <c r="BP391" s="385"/>
      <c r="BQ391" s="386"/>
      <c r="BR391" s="386"/>
      <c r="BS391" s="386"/>
      <c r="BT391" s="395"/>
      <c r="BU391" s="387"/>
      <c r="BV391" s="386"/>
      <c r="BW391" s="386"/>
      <c r="BX391" s="395"/>
      <c r="BY391" s="386"/>
      <c r="BZ391" s="385"/>
      <c r="CA391" s="388"/>
      <c r="CB391" s="388"/>
      <c r="CC391" s="395"/>
      <c r="CD391" s="386">
        <v>0.71</v>
      </c>
      <c r="CE391" s="385"/>
      <c r="CF391" s="386">
        <v>0.89</v>
      </c>
      <c r="CG391" s="386">
        <v>1</v>
      </c>
      <c r="CH391" s="386" t="s">
        <v>442</v>
      </c>
      <c r="CI391" s="386" t="s">
        <v>443</v>
      </c>
      <c r="CJ391" s="254"/>
      <c r="CK391" s="386" t="s">
        <v>442</v>
      </c>
      <c r="CL391" s="386" t="s">
        <v>442</v>
      </c>
      <c r="CM391" s="386" t="s">
        <v>442</v>
      </c>
      <c r="CN391" s="386" t="s">
        <v>442</v>
      </c>
      <c r="CO391" s="254"/>
      <c r="CP391" s="386" t="s">
        <v>314</v>
      </c>
      <c r="CQ391" s="386" t="s">
        <v>314</v>
      </c>
      <c r="CR391" s="386" t="s">
        <v>314</v>
      </c>
      <c r="CS391" s="396" t="s">
        <v>314</v>
      </c>
      <c r="CT391" s="254"/>
      <c r="CU391" s="386"/>
      <c r="CV391" s="386"/>
      <c r="CW391" s="386"/>
      <c r="CX391" s="386"/>
      <c r="CY391" s="254"/>
      <c r="CZ391" s="386"/>
      <c r="DA391" s="386"/>
      <c r="DB391" s="393"/>
      <c r="DC391" s="393"/>
      <c r="DD391" s="254"/>
      <c r="DE391" s="393"/>
      <c r="DF391" s="393"/>
      <c r="DG391" s="393"/>
      <c r="DH391" s="393"/>
      <c r="DI391" s="254"/>
      <c r="DJ391" s="393"/>
      <c r="DK391" s="393"/>
      <c r="DL391" s="393"/>
      <c r="DM391" s="393"/>
      <c r="DN391" s="254"/>
      <c r="DO391" s="393"/>
      <c r="DP391" s="393"/>
      <c r="DQ391" s="393"/>
      <c r="DR391" s="393"/>
      <c r="DS391" s="254"/>
    </row>
    <row r="392" hidden="1" outlineLevel="1" spans="2:123">
      <c r="B392" s="245"/>
      <c r="C392" s="246"/>
      <c r="D392" s="247"/>
      <c r="E392" s="247"/>
      <c r="F392" s="247"/>
      <c r="G392" s="247"/>
      <c r="H392" s="246"/>
      <c r="I392" s="247"/>
      <c r="J392" s="247"/>
      <c r="K392" s="247"/>
      <c r="L392" s="247"/>
      <c r="M392" s="246"/>
      <c r="N392" s="247"/>
      <c r="O392" s="247"/>
      <c r="P392" s="247"/>
      <c r="Q392" s="247"/>
      <c r="R392" s="246"/>
      <c r="S392" s="247"/>
      <c r="T392" s="247"/>
      <c r="U392" s="247"/>
      <c r="V392" s="261"/>
      <c r="W392" s="246"/>
      <c r="X392" s="261"/>
      <c r="Y392" s="261"/>
      <c r="Z392" s="247"/>
      <c r="AA392" s="247"/>
      <c r="AB392" s="246"/>
      <c r="AC392" s="247"/>
      <c r="AD392" s="247"/>
      <c r="AE392" s="247"/>
      <c r="AF392" s="247"/>
      <c r="AG392" s="246"/>
      <c r="AH392" s="247"/>
      <c r="AI392" s="247"/>
      <c r="AJ392" s="247"/>
      <c r="AK392" s="247"/>
      <c r="AL392" s="246"/>
      <c r="AM392" s="247"/>
      <c r="AN392" s="247"/>
      <c r="AO392" s="247"/>
      <c r="AP392" s="247"/>
      <c r="AQ392" s="246"/>
      <c r="AR392" s="247"/>
      <c r="AS392" s="247"/>
      <c r="AT392" s="247"/>
      <c r="AU392" s="261"/>
      <c r="AV392" s="246"/>
      <c r="AW392" s="261"/>
      <c r="AX392" s="261"/>
      <c r="AY392" s="261"/>
      <c r="AZ392" s="247"/>
      <c r="BA392" s="246"/>
      <c r="BB392" s="261"/>
      <c r="BC392" s="247"/>
      <c r="BD392" s="247"/>
      <c r="BE392" s="247"/>
      <c r="BF392" s="246"/>
      <c r="BG392" s="247"/>
      <c r="BH392" s="247"/>
      <c r="BI392" s="247"/>
      <c r="BJ392" s="247"/>
      <c r="BK392" s="246"/>
      <c r="BL392" s="247"/>
      <c r="BM392" s="247"/>
      <c r="BN392" s="247"/>
      <c r="BO392" s="247"/>
      <c r="BP392" s="246"/>
      <c r="BQ392" s="247"/>
      <c r="BR392" s="247"/>
      <c r="BS392" s="247"/>
      <c r="BT392" s="247"/>
      <c r="BU392" s="246"/>
      <c r="BV392" s="247"/>
      <c r="BW392" s="247"/>
      <c r="BX392" s="247"/>
      <c r="BY392" s="247"/>
      <c r="BZ392" s="246"/>
      <c r="CA392" s="382"/>
      <c r="CB392" s="382"/>
      <c r="CC392" s="382"/>
      <c r="CD392" s="382"/>
      <c r="CE392" s="397"/>
      <c r="CF392" s="398"/>
      <c r="CG392" s="398"/>
      <c r="CH392" s="398"/>
      <c r="CI392" s="398"/>
      <c r="CJ392" s="397"/>
      <c r="CK392" s="399"/>
      <c r="CL392" s="399"/>
      <c r="CM392" s="399"/>
      <c r="CN392" s="399"/>
      <c r="CO392" s="397"/>
      <c r="CP392" s="382"/>
      <c r="CQ392" s="382"/>
      <c r="CR392" s="382"/>
      <c r="CS392" s="382"/>
      <c r="CT392" s="397"/>
      <c r="CU392" s="382"/>
      <c r="CV392" s="382"/>
      <c r="CW392" s="382"/>
      <c r="CX392" s="382"/>
      <c r="CY392" s="397"/>
      <c r="CZ392" s="382"/>
      <c r="DA392" s="382"/>
      <c r="DB392" s="382"/>
      <c r="DC392" s="382"/>
      <c r="DD392" s="397"/>
      <c r="DE392" s="382"/>
      <c r="DF392" s="382"/>
      <c r="DG392" s="382"/>
      <c r="DH392" s="382"/>
      <c r="DI392" s="397"/>
      <c r="DJ392" s="382"/>
      <c r="DK392" s="382"/>
      <c r="DL392" s="382"/>
      <c r="DM392" s="382"/>
      <c r="DN392" s="397"/>
      <c r="DO392" s="382"/>
      <c r="DP392" s="382"/>
      <c r="DQ392" s="382"/>
      <c r="DR392" s="382"/>
      <c r="DS392" s="397"/>
    </row>
    <row r="393" hidden="1" outlineLevel="1" spans="2:123">
      <c r="B393" s="400" t="s">
        <v>444</v>
      </c>
      <c r="C393" s="246"/>
      <c r="D393" s="247"/>
      <c r="E393" s="247"/>
      <c r="F393" s="247"/>
      <c r="G393" s="247"/>
      <c r="H393" s="246"/>
      <c r="I393" s="247"/>
      <c r="J393" s="247"/>
      <c r="K393" s="247"/>
      <c r="L393" s="247"/>
      <c r="M393" s="246"/>
      <c r="N393" s="247"/>
      <c r="O393" s="247"/>
      <c r="P393" s="247"/>
      <c r="Q393" s="247"/>
      <c r="R393" s="246"/>
      <c r="S393" s="247"/>
      <c r="T393" s="247"/>
      <c r="U393" s="247"/>
      <c r="V393" s="247"/>
      <c r="W393" s="246"/>
      <c r="X393" s="247"/>
      <c r="Y393" s="247"/>
      <c r="Z393" s="247"/>
      <c r="AA393" s="247"/>
      <c r="AB393" s="246"/>
      <c r="AC393" s="247"/>
      <c r="AD393" s="247"/>
      <c r="AE393" s="247"/>
      <c r="AF393" s="247"/>
      <c r="AG393" s="246"/>
      <c r="AH393" s="247"/>
      <c r="AI393" s="247"/>
      <c r="AJ393" s="247"/>
      <c r="AK393" s="247"/>
      <c r="AL393" s="246"/>
      <c r="AM393" s="247"/>
      <c r="AN393" s="247"/>
      <c r="AO393" s="247"/>
      <c r="AP393" s="247"/>
      <c r="AQ393" s="246"/>
      <c r="AR393" s="247"/>
      <c r="AS393" s="247"/>
      <c r="AT393" s="247"/>
      <c r="AU393" s="247"/>
      <c r="AV393" s="246"/>
      <c r="AW393" s="247"/>
      <c r="AX393" s="247"/>
      <c r="AY393" s="247"/>
      <c r="AZ393" s="247"/>
      <c r="BA393" s="246"/>
      <c r="BB393" s="401"/>
      <c r="BC393" s="247"/>
      <c r="BD393" s="247"/>
      <c r="BE393" s="247"/>
      <c r="BF393" s="246"/>
      <c r="BG393" s="247"/>
      <c r="BH393" s="247"/>
      <c r="BI393" s="247"/>
      <c r="BJ393" s="247"/>
      <c r="BK393" s="246"/>
      <c r="BL393" s="247"/>
      <c r="BM393" s="247"/>
      <c r="BN393" s="247"/>
      <c r="BO393" s="247"/>
      <c r="BP393" s="246"/>
      <c r="BQ393" s="247"/>
      <c r="BR393" s="247"/>
      <c r="BS393" s="401"/>
      <c r="BT393" s="247"/>
      <c r="BU393" s="246"/>
      <c r="BV393" s="247"/>
      <c r="BW393" s="247"/>
      <c r="BX393" s="247"/>
      <c r="BY393" s="247"/>
      <c r="BZ393" s="246"/>
      <c r="CA393" s="247"/>
      <c r="CB393" s="247"/>
      <c r="CC393" s="247"/>
      <c r="CD393" s="247"/>
      <c r="CE393" s="246"/>
      <c r="CF393" s="247"/>
      <c r="CG393" s="402"/>
      <c r="CH393" s="247"/>
      <c r="CI393" s="247"/>
      <c r="CJ393" s="246"/>
      <c r="CK393" s="382"/>
      <c r="CL393" s="382"/>
      <c r="CM393" s="382"/>
      <c r="CN393" s="382"/>
      <c r="CO393" s="397"/>
      <c r="CP393" s="382"/>
      <c r="CQ393" s="382"/>
      <c r="CR393" s="382"/>
      <c r="CS393" s="382"/>
      <c r="CT393" s="397"/>
      <c r="CU393" s="403"/>
      <c r="CV393" s="403"/>
      <c r="CW393" s="403"/>
      <c r="CX393" s="403"/>
      <c r="CY393" s="404"/>
      <c r="CZ393" s="403"/>
      <c r="DA393" s="403"/>
      <c r="DB393" s="403"/>
      <c r="DC393" s="403"/>
      <c r="DD393" s="404"/>
      <c r="DE393" s="403"/>
      <c r="DF393" s="403"/>
      <c r="DG393" s="403"/>
      <c r="DH393" s="403"/>
      <c r="DI393" s="404"/>
      <c r="DJ393" s="403"/>
      <c r="DK393" s="403"/>
      <c r="DL393" s="403"/>
      <c r="DM393" s="403"/>
      <c r="DN393" s="404"/>
      <c r="DO393" s="403"/>
      <c r="DP393" s="403"/>
      <c r="DQ393" s="403"/>
      <c r="DR393" s="403"/>
      <c r="DS393" s="404"/>
    </row>
    <row r="394" hidden="1" outlineLevel="1" spans="2:123">
      <c r="B394" s="263" t="s">
        <v>445</v>
      </c>
      <c r="C394" s="246"/>
      <c r="D394" s="247"/>
      <c r="E394" s="247"/>
      <c r="F394" s="247"/>
      <c r="G394" s="247"/>
      <c r="H394" s="246"/>
      <c r="I394" s="247"/>
      <c r="J394" s="247"/>
      <c r="K394" s="247"/>
      <c r="L394" s="247"/>
      <c r="M394" s="246"/>
      <c r="N394" s="247"/>
      <c r="O394" s="247"/>
      <c r="P394" s="247"/>
      <c r="Q394" s="247"/>
      <c r="R394" s="246"/>
      <c r="S394" s="247"/>
      <c r="T394" s="247"/>
      <c r="U394" s="247"/>
      <c r="V394" s="247"/>
      <c r="W394" s="246"/>
      <c r="X394" s="247"/>
      <c r="Y394" s="247"/>
      <c r="Z394" s="247"/>
      <c r="AA394" s="247"/>
      <c r="AB394" s="246">
        <v>10</v>
      </c>
      <c r="AC394" s="247"/>
      <c r="AD394" s="247"/>
      <c r="AE394" s="247"/>
      <c r="AF394" s="247"/>
      <c r="AG394" s="246">
        <v>14</v>
      </c>
      <c r="AH394" s="247"/>
      <c r="AI394" s="247"/>
      <c r="AJ394" s="247"/>
      <c r="AK394" s="247"/>
      <c r="AL394" s="246">
        <v>41</v>
      </c>
      <c r="AM394" s="247"/>
      <c r="AN394" s="247"/>
      <c r="AO394" s="247"/>
      <c r="AP394" s="247"/>
      <c r="AQ394" s="246">
        <v>37</v>
      </c>
      <c r="AR394" s="247"/>
      <c r="AS394" s="247"/>
      <c r="AT394" s="247"/>
      <c r="AU394" s="247"/>
      <c r="AV394" s="246">
        <v>45</v>
      </c>
      <c r="AW394" s="247"/>
      <c r="AX394" s="247"/>
      <c r="AY394" s="247"/>
      <c r="AZ394" s="247"/>
      <c r="BA394" s="246">
        <v>49</v>
      </c>
      <c r="BB394" s="405"/>
      <c r="BC394" s="247"/>
      <c r="BD394" s="247"/>
      <c r="BE394" s="279"/>
      <c r="BF394" s="246">
        <v>62</v>
      </c>
      <c r="BG394" s="405"/>
      <c r="BH394" s="247"/>
      <c r="BI394" s="247"/>
      <c r="BJ394" s="279"/>
      <c r="BK394" s="246">
        <v>46</v>
      </c>
      <c r="BL394" s="405"/>
      <c r="BM394" s="247"/>
      <c r="BN394" s="247"/>
      <c r="BO394" s="279"/>
      <c r="BP394" s="246">
        <v>49</v>
      </c>
      <c r="BQ394" s="247">
        <v>7</v>
      </c>
      <c r="BR394" s="247">
        <v>5</v>
      </c>
      <c r="BS394" s="401">
        <v>11</v>
      </c>
      <c r="BT394" s="247">
        <v>16</v>
      </c>
      <c r="BU394" s="246">
        <f>SUM(BQ394:BT394)</f>
        <v>39</v>
      </c>
      <c r="BV394" s="247">
        <v>15</v>
      </c>
      <c r="BW394" s="247">
        <v>5</v>
      </c>
      <c r="BX394" s="247">
        <v>21</v>
      </c>
      <c r="BY394" s="247">
        <v>16</v>
      </c>
      <c r="BZ394" s="246">
        <f>SUM(BV394:BY394)</f>
        <v>57</v>
      </c>
      <c r="CA394" s="247">
        <v>4</v>
      </c>
      <c r="CB394" s="247">
        <f>8+7+2</f>
        <v>17</v>
      </c>
      <c r="CC394" s="247">
        <v>11</v>
      </c>
      <c r="CD394" s="247">
        <v>8</v>
      </c>
      <c r="CE394" s="246">
        <f>SUM(CA394:CD394)</f>
        <v>40</v>
      </c>
      <c r="CF394" s="247">
        <v>3</v>
      </c>
      <c r="CG394" s="247">
        <v>11</v>
      </c>
      <c r="CH394" s="406">
        <v>19</v>
      </c>
      <c r="CI394" s="401">
        <v>23</v>
      </c>
      <c r="CJ394" s="246">
        <f>SUM(CF394:CI394)</f>
        <v>56</v>
      </c>
      <c r="CK394" s="401">
        <v>6</v>
      </c>
      <c r="CL394" s="401">
        <v>22</v>
      </c>
      <c r="CM394" s="247">
        <v>25</v>
      </c>
      <c r="CN394" s="247">
        <v>34</v>
      </c>
      <c r="CO394" s="246">
        <f>SUM(CK394:CN394)</f>
        <v>87</v>
      </c>
      <c r="CP394" s="406">
        <v>10</v>
      </c>
      <c r="CQ394" s="247">
        <v>12</v>
      </c>
      <c r="CR394" s="247">
        <v>15</v>
      </c>
      <c r="CS394" s="247">
        <v>26</v>
      </c>
      <c r="CT394" s="246"/>
      <c r="CU394" s="401"/>
      <c r="CV394" s="401"/>
      <c r="CW394" s="247"/>
      <c r="CX394" s="247"/>
      <c r="CY394" s="246"/>
      <c r="CZ394" s="407"/>
      <c r="DA394" s="407"/>
      <c r="DB394" s="247"/>
      <c r="DC394" s="247"/>
      <c r="DD394" s="246"/>
      <c r="DE394" s="266"/>
      <c r="DF394" s="266"/>
      <c r="DG394" s="247"/>
      <c r="DH394" s="247"/>
      <c r="DI394" s="246"/>
      <c r="DJ394" s="266"/>
      <c r="DK394" s="266"/>
      <c r="DL394" s="247"/>
      <c r="DM394" s="247"/>
      <c r="DN394" s="246"/>
      <c r="DO394" s="266"/>
      <c r="DP394" s="266"/>
      <c r="DQ394" s="247"/>
      <c r="DR394" s="247"/>
      <c r="DS394" s="246"/>
    </row>
    <row r="395" hidden="1" outlineLevel="1" spans="2:123">
      <c r="B395" s="263" t="s">
        <v>446</v>
      </c>
      <c r="C395" s="246"/>
      <c r="D395" s="247"/>
      <c r="E395" s="247"/>
      <c r="F395" s="247"/>
      <c r="G395" s="247"/>
      <c r="H395" s="246"/>
      <c r="I395" s="247"/>
      <c r="J395" s="247"/>
      <c r="K395" s="247"/>
      <c r="L395" s="247"/>
      <c r="M395" s="246"/>
      <c r="N395" s="247"/>
      <c r="O395" s="247"/>
      <c r="P395" s="247"/>
      <c r="Q395" s="247"/>
      <c r="R395" s="246"/>
      <c r="S395" s="247"/>
      <c r="T395" s="247"/>
      <c r="U395" s="247"/>
      <c r="V395" s="247"/>
      <c r="W395" s="246"/>
      <c r="X395" s="247"/>
      <c r="Y395" s="247"/>
      <c r="Z395" s="247"/>
      <c r="AA395" s="247"/>
      <c r="AB395" s="408">
        <f>AB397-AB394</f>
        <v>0</v>
      </c>
      <c r="AC395" s="247"/>
      <c r="AD395" s="247"/>
      <c r="AE395" s="247"/>
      <c r="AF395" s="247"/>
      <c r="AG395" s="408">
        <f>AG397-AG394</f>
        <v>6</v>
      </c>
      <c r="AH395" s="247"/>
      <c r="AI395" s="247"/>
      <c r="AJ395" s="247"/>
      <c r="AK395" s="247"/>
      <c r="AL395" s="408">
        <f>AL397-AL394</f>
        <v>0</v>
      </c>
      <c r="AM395" s="247"/>
      <c r="AN395" s="247"/>
      <c r="AO395" s="247"/>
      <c r="AP395" s="247"/>
      <c r="AQ395" s="408">
        <f>AQ397-AQ394</f>
        <v>0</v>
      </c>
      <c r="AR395" s="247"/>
      <c r="AS395" s="247"/>
      <c r="AT395" s="247"/>
      <c r="AU395" s="247"/>
      <c r="AV395" s="408">
        <f>AV397-AV394</f>
        <v>-2</v>
      </c>
      <c r="AW395" s="247"/>
      <c r="AX395" s="247"/>
      <c r="AY395" s="247"/>
      <c r="AZ395" s="247"/>
      <c r="BA395" s="408">
        <f>BA397-BA394</f>
        <v>-1</v>
      </c>
      <c r="BB395" s="401"/>
      <c r="BC395" s="247"/>
      <c r="BD395" s="247"/>
      <c r="BE395" s="247"/>
      <c r="BF395" s="408">
        <f>BF397-BF394</f>
        <v>-1</v>
      </c>
      <c r="BG395" s="247"/>
      <c r="BH395" s="247"/>
      <c r="BI395" s="247"/>
      <c r="BJ395" s="247"/>
      <c r="BK395" s="408">
        <f>BK397-BK394</f>
        <v>-3</v>
      </c>
      <c r="BL395" s="247"/>
      <c r="BM395" s="247"/>
      <c r="BN395" s="247"/>
      <c r="BO395" s="247"/>
      <c r="BP395" s="408">
        <f>BP397-BP394</f>
        <v>-51</v>
      </c>
      <c r="BQ395" s="247">
        <v>0</v>
      </c>
      <c r="BR395" s="247">
        <v>1</v>
      </c>
      <c r="BS395" s="401">
        <v>0</v>
      </c>
      <c r="BT395" s="247">
        <v>2</v>
      </c>
      <c r="BU395" s="246">
        <f>SUM(BQ395:BT395)</f>
        <v>3</v>
      </c>
      <c r="BV395" s="247">
        <v>0</v>
      </c>
      <c r="BW395" s="247">
        <v>0</v>
      </c>
      <c r="BX395" s="247">
        <v>2</v>
      </c>
      <c r="BY395" s="247">
        <v>4</v>
      </c>
      <c r="BZ395" s="246">
        <f>SUM(BV395:BY395)</f>
        <v>6</v>
      </c>
      <c r="CA395" s="247">
        <v>6</v>
      </c>
      <c r="CB395" s="247">
        <v>0</v>
      </c>
      <c r="CC395" s="247">
        <v>2</v>
      </c>
      <c r="CD395" s="247">
        <v>2</v>
      </c>
      <c r="CE395" s="246">
        <f>SUM(CA395:CD395)</f>
        <v>10</v>
      </c>
      <c r="CF395" s="247">
        <v>1</v>
      </c>
      <c r="CG395" s="247">
        <v>0</v>
      </c>
      <c r="CH395" s="272">
        <v>1</v>
      </c>
      <c r="CI395" s="247">
        <v>1</v>
      </c>
      <c r="CJ395" s="246">
        <f>SUM(CF395:CI395)</f>
        <v>3</v>
      </c>
      <c r="CK395" s="247">
        <v>1</v>
      </c>
      <c r="CL395" s="247">
        <v>1</v>
      </c>
      <c r="CM395" s="247">
        <v>2</v>
      </c>
      <c r="CN395" s="247">
        <v>2</v>
      </c>
      <c r="CO395" s="246">
        <f>SUM(CK395:CN395)</f>
        <v>6</v>
      </c>
      <c r="CP395" s="272">
        <v>3</v>
      </c>
      <c r="CQ395" s="247">
        <v>2</v>
      </c>
      <c r="CR395" s="247">
        <v>1</v>
      </c>
      <c r="CS395" s="247">
        <v>1</v>
      </c>
      <c r="CT395" s="246"/>
      <c r="CU395" s="247"/>
      <c r="CV395" s="247"/>
      <c r="CW395" s="247"/>
      <c r="CX395" s="247"/>
      <c r="CY395" s="246"/>
      <c r="CZ395" s="401"/>
      <c r="DA395" s="401"/>
      <c r="DB395" s="247"/>
      <c r="DC395" s="247"/>
      <c r="DD395" s="246"/>
      <c r="DE395" s="247"/>
      <c r="DF395" s="247"/>
      <c r="DG395" s="247"/>
      <c r="DH395" s="247"/>
      <c r="DI395" s="246"/>
      <c r="DJ395" s="247"/>
      <c r="DK395" s="247"/>
      <c r="DL395" s="247"/>
      <c r="DM395" s="247"/>
      <c r="DN395" s="246"/>
      <c r="DO395" s="247"/>
      <c r="DP395" s="247"/>
      <c r="DQ395" s="247"/>
      <c r="DR395" s="247"/>
      <c r="DS395" s="246"/>
    </row>
    <row r="396" s="3" customFormat="1" hidden="1" outlineLevel="1" spans="2:123">
      <c r="B396" s="263" t="s">
        <v>447</v>
      </c>
      <c r="C396" s="409">
        <v>14</v>
      </c>
      <c r="D396" s="410">
        <v>17</v>
      </c>
      <c r="E396" s="410">
        <v>18</v>
      </c>
      <c r="F396" s="410">
        <v>21</v>
      </c>
      <c r="G396" s="410">
        <v>27</v>
      </c>
      <c r="H396" s="409">
        <f>G396</f>
        <v>27</v>
      </c>
      <c r="I396" s="410">
        <v>30</v>
      </c>
      <c r="J396" s="410">
        <v>33</v>
      </c>
      <c r="K396" s="410">
        <v>37</v>
      </c>
      <c r="L396" s="410">
        <v>41</v>
      </c>
      <c r="M396" s="409">
        <f>L396</f>
        <v>41</v>
      </c>
      <c r="N396" s="410">
        <v>46</v>
      </c>
      <c r="O396" s="410">
        <v>52</v>
      </c>
      <c r="P396" s="410">
        <v>62</v>
      </c>
      <c r="Q396" s="410">
        <v>71</v>
      </c>
      <c r="R396" s="409">
        <f>Q396</f>
        <v>71</v>
      </c>
      <c r="S396" s="410">
        <v>74</v>
      </c>
      <c r="T396" s="410">
        <v>80</v>
      </c>
      <c r="U396" s="410">
        <v>98</v>
      </c>
      <c r="V396" s="410">
        <v>103</v>
      </c>
      <c r="W396" s="409">
        <f>V396</f>
        <v>103</v>
      </c>
      <c r="X396" s="410">
        <v>103</v>
      </c>
      <c r="Y396" s="410">
        <v>104</v>
      </c>
      <c r="Z396" s="410">
        <v>106</v>
      </c>
      <c r="AA396" s="410">
        <v>113</v>
      </c>
      <c r="AB396" s="409">
        <f>AA396</f>
        <v>113</v>
      </c>
      <c r="AC396" s="410">
        <v>114</v>
      </c>
      <c r="AD396" s="410">
        <v>126</v>
      </c>
      <c r="AE396" s="410">
        <v>130</v>
      </c>
      <c r="AF396" s="410">
        <v>133</v>
      </c>
      <c r="AG396" s="409">
        <f>AF396</f>
        <v>133</v>
      </c>
      <c r="AH396" s="410">
        <v>138</v>
      </c>
      <c r="AI396" s="410">
        <v>147</v>
      </c>
      <c r="AJ396" s="410">
        <v>165</v>
      </c>
      <c r="AK396" s="410">
        <v>174</v>
      </c>
      <c r="AL396" s="409">
        <f>AK396</f>
        <v>174</v>
      </c>
      <c r="AM396" s="410">
        <v>180</v>
      </c>
      <c r="AN396" s="410">
        <v>189</v>
      </c>
      <c r="AO396" s="410">
        <v>201</v>
      </c>
      <c r="AP396" s="411">
        <v>211</v>
      </c>
      <c r="AQ396" s="409">
        <f>AP396</f>
        <v>211</v>
      </c>
      <c r="AR396" s="411">
        <v>218</v>
      </c>
      <c r="AS396" s="411">
        <v>226</v>
      </c>
      <c r="AT396" s="411">
        <v>247</v>
      </c>
      <c r="AU396" s="411">
        <v>254</v>
      </c>
      <c r="AV396" s="409">
        <f>AU396</f>
        <v>254</v>
      </c>
      <c r="AW396" s="411">
        <v>263</v>
      </c>
      <c r="AX396" s="411">
        <v>270</v>
      </c>
      <c r="AY396" s="410">
        <v>289</v>
      </c>
      <c r="AZ396" s="410">
        <v>302</v>
      </c>
      <c r="BA396" s="409">
        <f>AZ396</f>
        <v>302</v>
      </c>
      <c r="BB396" s="411">
        <v>316</v>
      </c>
      <c r="BC396" s="411">
        <v>336</v>
      </c>
      <c r="BD396" s="411">
        <v>354</v>
      </c>
      <c r="BE396" s="411">
        <v>363</v>
      </c>
      <c r="BF396" s="409">
        <f>BE396</f>
        <v>363</v>
      </c>
      <c r="BG396" s="411">
        <v>373</v>
      </c>
      <c r="BH396" s="411">
        <v>379</v>
      </c>
      <c r="BI396" s="411">
        <v>389</v>
      </c>
      <c r="BJ396" s="411">
        <v>406</v>
      </c>
      <c r="BK396" s="409">
        <f>BJ396</f>
        <v>406</v>
      </c>
      <c r="BL396" s="411">
        <v>411</v>
      </c>
      <c r="BM396" s="411">
        <v>421</v>
      </c>
      <c r="BN396" s="410">
        <v>388</v>
      </c>
      <c r="BO396" s="410">
        <v>404</v>
      </c>
      <c r="BP396" s="409">
        <f>BO396</f>
        <v>404</v>
      </c>
      <c r="BQ396" s="411">
        <v>411</v>
      </c>
      <c r="BR396" s="411">
        <v>415</v>
      </c>
      <c r="BS396" s="411">
        <v>426</v>
      </c>
      <c r="BT396" s="411">
        <v>440</v>
      </c>
      <c r="BU396" s="409">
        <f>BT396</f>
        <v>440</v>
      </c>
      <c r="BV396" s="411">
        <v>455</v>
      </c>
      <c r="BW396" s="411">
        <v>460</v>
      </c>
      <c r="BX396" s="411">
        <v>479</v>
      </c>
      <c r="BY396" s="411">
        <v>491</v>
      </c>
      <c r="BZ396" s="409">
        <f>BY396</f>
        <v>491</v>
      </c>
      <c r="CA396" s="411">
        <v>489</v>
      </c>
      <c r="CB396" s="411">
        <v>506</v>
      </c>
      <c r="CC396" s="411">
        <v>515</v>
      </c>
      <c r="CD396" s="411">
        <v>521</v>
      </c>
      <c r="CE396" s="409">
        <f>CD396</f>
        <v>521</v>
      </c>
      <c r="CF396" s="411">
        <v>523</v>
      </c>
      <c r="CG396" s="411">
        <v>534</v>
      </c>
      <c r="CH396" s="411">
        <v>552</v>
      </c>
      <c r="CI396" s="411">
        <v>574</v>
      </c>
      <c r="CJ396" s="409">
        <f>CI396</f>
        <v>574</v>
      </c>
      <c r="CK396" s="411">
        <v>579</v>
      </c>
      <c r="CL396" s="411">
        <f>+CK396+CL394-CL395</f>
        <v>600</v>
      </c>
      <c r="CM396" s="411">
        <v>623</v>
      </c>
      <c r="CN396" s="411">
        <v>655</v>
      </c>
      <c r="CO396" s="409">
        <f>CN396</f>
        <v>655</v>
      </c>
      <c r="CP396" s="411">
        <v>662</v>
      </c>
      <c r="CQ396" s="411">
        <v>672</v>
      </c>
      <c r="CR396" s="411">
        <v>686</v>
      </c>
      <c r="CS396" s="411">
        <v>711</v>
      </c>
      <c r="CT396" s="409">
        <f>CS396</f>
        <v>711</v>
      </c>
      <c r="CU396" s="411"/>
      <c r="CV396" s="411"/>
      <c r="CW396" s="411"/>
      <c r="CX396" s="411"/>
      <c r="CY396" s="409"/>
      <c r="CZ396" s="411"/>
      <c r="DA396" s="411"/>
      <c r="DB396" s="411"/>
      <c r="DC396" s="411"/>
      <c r="DD396" s="409"/>
      <c r="DE396" s="411"/>
      <c r="DF396" s="411"/>
      <c r="DG396" s="411"/>
      <c r="DH396" s="411"/>
      <c r="DI396" s="409"/>
      <c r="DJ396" s="411"/>
      <c r="DK396" s="411"/>
      <c r="DL396" s="411"/>
      <c r="DM396" s="411"/>
      <c r="DN396" s="409"/>
      <c r="DO396" s="411"/>
      <c r="DP396" s="411"/>
      <c r="DQ396" s="411"/>
      <c r="DR396" s="411"/>
      <c r="DS396" s="409"/>
    </row>
    <row r="397" hidden="1" outlineLevel="1" spans="2:123">
      <c r="B397" s="245" t="s">
        <v>305</v>
      </c>
      <c r="C397" s="408"/>
      <c r="D397" s="401">
        <f>D396-C396</f>
        <v>3</v>
      </c>
      <c r="E397" s="401">
        <f>E396-D396</f>
        <v>1</v>
      </c>
      <c r="F397" s="401">
        <f>F396-E396</f>
        <v>3</v>
      </c>
      <c r="G397" s="401">
        <f>G396-F396</f>
        <v>6</v>
      </c>
      <c r="H397" s="408">
        <f>H396-C396</f>
        <v>13</v>
      </c>
      <c r="I397" s="401">
        <f>I396-G396</f>
        <v>3</v>
      </c>
      <c r="J397" s="401">
        <f>J396-I396</f>
        <v>3</v>
      </c>
      <c r="K397" s="401">
        <f>K396-J396</f>
        <v>4</v>
      </c>
      <c r="L397" s="401">
        <f>L396-K396</f>
        <v>4</v>
      </c>
      <c r="M397" s="408">
        <f>M396-H396</f>
        <v>14</v>
      </c>
      <c r="N397" s="401">
        <f>N396-L396</f>
        <v>5</v>
      </c>
      <c r="O397" s="401">
        <f>O396-N396</f>
        <v>6</v>
      </c>
      <c r="P397" s="401">
        <f>P396-O396</f>
        <v>10</v>
      </c>
      <c r="Q397" s="401">
        <f>Q396-P396</f>
        <v>9</v>
      </c>
      <c r="R397" s="408">
        <f>R396-M396</f>
        <v>30</v>
      </c>
      <c r="S397" s="401">
        <f>S396-Q396</f>
        <v>3</v>
      </c>
      <c r="T397" s="401">
        <f>T396-S396</f>
        <v>6</v>
      </c>
      <c r="U397" s="401">
        <f>U396-T396</f>
        <v>18</v>
      </c>
      <c r="V397" s="401">
        <f>V396-U396</f>
        <v>5</v>
      </c>
      <c r="W397" s="408">
        <f>W396-R396</f>
        <v>32</v>
      </c>
      <c r="X397" s="401">
        <f>X396-V396</f>
        <v>0</v>
      </c>
      <c r="Y397" s="401">
        <f>Y396-X396</f>
        <v>1</v>
      </c>
      <c r="Z397" s="401">
        <f>Z396-Y396</f>
        <v>2</v>
      </c>
      <c r="AA397" s="401">
        <f>AA396-Z396</f>
        <v>7</v>
      </c>
      <c r="AB397" s="408">
        <f>AB396-W396</f>
        <v>10</v>
      </c>
      <c r="AC397" s="401">
        <f>AC396-AA396</f>
        <v>1</v>
      </c>
      <c r="AD397" s="401">
        <f>AD396-AC396</f>
        <v>12</v>
      </c>
      <c r="AE397" s="401">
        <f>AE396-AD396</f>
        <v>4</v>
      </c>
      <c r="AF397" s="401">
        <f>AF396-AE396</f>
        <v>3</v>
      </c>
      <c r="AG397" s="408">
        <f>AG396-AB396</f>
        <v>20</v>
      </c>
      <c r="AH397" s="401">
        <f>AH396-AF396</f>
        <v>5</v>
      </c>
      <c r="AI397" s="401">
        <f>AI396-AH396</f>
        <v>9</v>
      </c>
      <c r="AJ397" s="401">
        <f>AJ396-AI396</f>
        <v>18</v>
      </c>
      <c r="AK397" s="401">
        <f>AK396-AJ396</f>
        <v>9</v>
      </c>
      <c r="AL397" s="408">
        <f>AL396-AG396</f>
        <v>41</v>
      </c>
      <c r="AM397" s="401">
        <f>AM396-AK396</f>
        <v>6</v>
      </c>
      <c r="AN397" s="401">
        <f>AN396-AM396</f>
        <v>9</v>
      </c>
      <c r="AO397" s="401">
        <f>AO396-AN396</f>
        <v>12</v>
      </c>
      <c r="AP397" s="401">
        <f>AP396-AO396</f>
        <v>10</v>
      </c>
      <c r="AQ397" s="408">
        <f>AQ396-AL396</f>
        <v>37</v>
      </c>
      <c r="AR397" s="401">
        <f>AR396-AP396</f>
        <v>7</v>
      </c>
      <c r="AS397" s="401">
        <f>AS396-AR396</f>
        <v>8</v>
      </c>
      <c r="AT397" s="401">
        <f>AT396-AS396</f>
        <v>21</v>
      </c>
      <c r="AU397" s="401">
        <f>AU396-AT396</f>
        <v>7</v>
      </c>
      <c r="AV397" s="408">
        <f>AV396-AQ396</f>
        <v>43</v>
      </c>
      <c r="AW397" s="401">
        <f>AW396-AU396</f>
        <v>9</v>
      </c>
      <c r="AX397" s="401">
        <f>AX396-AW396</f>
        <v>7</v>
      </c>
      <c r="AY397" s="401">
        <f>AY396-AX396</f>
        <v>19</v>
      </c>
      <c r="AZ397" s="401">
        <f>AZ396-AY396</f>
        <v>13</v>
      </c>
      <c r="BA397" s="408">
        <f>BA396-AV396</f>
        <v>48</v>
      </c>
      <c r="BB397" s="401">
        <f>BB396-AZ396</f>
        <v>14</v>
      </c>
      <c r="BC397" s="401">
        <f>BC396-BB396</f>
        <v>20</v>
      </c>
      <c r="BD397" s="401">
        <f>BD396-BC396</f>
        <v>18</v>
      </c>
      <c r="BE397" s="401">
        <f>BE396-BD396</f>
        <v>9</v>
      </c>
      <c r="BF397" s="408">
        <f>BF396-BA396</f>
        <v>61</v>
      </c>
      <c r="BG397" s="401">
        <f>BG396-BE396</f>
        <v>10</v>
      </c>
      <c r="BH397" s="401">
        <f>BH396-BG396</f>
        <v>6</v>
      </c>
      <c r="BI397" s="401">
        <f>BI396-BH396</f>
        <v>10</v>
      </c>
      <c r="BJ397" s="401">
        <f>BJ396-BI396</f>
        <v>17</v>
      </c>
      <c r="BK397" s="408">
        <f>BK396-BF396</f>
        <v>43</v>
      </c>
      <c r="BL397" s="401">
        <f>BL396-BJ396</f>
        <v>5</v>
      </c>
      <c r="BM397" s="401">
        <f>BM396-BL396</f>
        <v>10</v>
      </c>
      <c r="BN397" s="401">
        <f>BN396-BM396</f>
        <v>-33</v>
      </c>
      <c r="BO397" s="401">
        <f>BO396-BN396</f>
        <v>16</v>
      </c>
      <c r="BP397" s="408">
        <f>BP396-BK396</f>
        <v>-2</v>
      </c>
      <c r="BQ397" s="401">
        <f>BQ396-BP396</f>
        <v>7</v>
      </c>
      <c r="BR397" s="401">
        <f>BR396-BQ396</f>
        <v>4</v>
      </c>
      <c r="BS397" s="401">
        <f>BS396-BR396</f>
        <v>11</v>
      </c>
      <c r="BT397" s="401">
        <f>BT396-BS396</f>
        <v>14</v>
      </c>
      <c r="BU397" s="408">
        <f>BU396-BP396</f>
        <v>36</v>
      </c>
      <c r="BV397" s="401">
        <f>BV396-BU396</f>
        <v>15</v>
      </c>
      <c r="BW397" s="401">
        <f>BW396-BV396</f>
        <v>5</v>
      </c>
      <c r="BX397" s="401">
        <f>BX396-BW396</f>
        <v>19</v>
      </c>
      <c r="BY397" s="401">
        <f>BY396-BX396</f>
        <v>12</v>
      </c>
      <c r="BZ397" s="408">
        <f>BZ396-BU396</f>
        <v>51</v>
      </c>
      <c r="CA397" s="406">
        <f>CA396-BZ396</f>
        <v>-2</v>
      </c>
      <c r="CB397" s="406">
        <f>CB396-CA396</f>
        <v>17</v>
      </c>
      <c r="CC397" s="406">
        <f>CC396-CB396</f>
        <v>9</v>
      </c>
      <c r="CD397" s="406">
        <f>CD396-CC396</f>
        <v>6</v>
      </c>
      <c r="CE397" s="408">
        <f>CE396-BZ396</f>
        <v>30</v>
      </c>
      <c r="CF397" s="406">
        <f>CF396-CE396</f>
        <v>2</v>
      </c>
      <c r="CG397" s="406">
        <f>CG396-CF396</f>
        <v>11</v>
      </c>
      <c r="CH397" s="406">
        <f>CH396-CG396</f>
        <v>18</v>
      </c>
      <c r="CI397" s="406">
        <f>CI396-CH396</f>
        <v>22</v>
      </c>
      <c r="CJ397" s="408">
        <f>CJ396-CE396</f>
        <v>53</v>
      </c>
      <c r="CK397" s="406">
        <f>CK396-CJ396</f>
        <v>5</v>
      </c>
      <c r="CL397" s="406">
        <f>CL396-CK396</f>
        <v>21</v>
      </c>
      <c r="CM397" s="406">
        <f>CM396-CL396</f>
        <v>23</v>
      </c>
      <c r="CN397" s="406">
        <f>CN396-CM396</f>
        <v>32</v>
      </c>
      <c r="CO397" s="408">
        <f>CO396-CJ396</f>
        <v>81</v>
      </c>
      <c r="CP397" s="406">
        <f>CP396-CO396</f>
        <v>7</v>
      </c>
      <c r="CQ397" s="406">
        <f>CQ396-CP396</f>
        <v>10</v>
      </c>
      <c r="CR397" s="406">
        <f>CR396-CQ396</f>
        <v>14</v>
      </c>
      <c r="CS397" s="406">
        <f>CS396-CR396</f>
        <v>25</v>
      </c>
      <c r="CT397" s="408">
        <f>CT396-CO396</f>
        <v>56</v>
      </c>
      <c r="CU397" s="406"/>
      <c r="CV397" s="406"/>
      <c r="CW397" s="406"/>
      <c r="CX397" s="406"/>
      <c r="CY397" s="412"/>
      <c r="CZ397" s="406"/>
      <c r="DA397" s="406"/>
      <c r="DB397" s="406"/>
      <c r="DC397" s="406"/>
      <c r="DD397" s="412"/>
      <c r="DE397" s="406"/>
      <c r="DF397" s="406"/>
      <c r="DG397" s="406"/>
      <c r="DH397" s="406"/>
      <c r="DI397" s="412"/>
      <c r="DJ397" s="406"/>
      <c r="DK397" s="406"/>
      <c r="DL397" s="406"/>
      <c r="DM397" s="406"/>
      <c r="DN397" s="412"/>
      <c r="DO397" s="406"/>
      <c r="DP397" s="406"/>
      <c r="DQ397" s="406"/>
      <c r="DR397" s="406"/>
      <c r="DS397" s="412"/>
    </row>
    <row r="398" hidden="1" outlineLevel="1" spans="2:123">
      <c r="B398" s="245" t="s">
        <v>448</v>
      </c>
      <c r="C398" s="408"/>
      <c r="D398" s="401">
        <f>AVERAGE(D396,C396)</f>
        <v>15.5</v>
      </c>
      <c r="E398" s="401">
        <f>AVERAGE(E396,D396)</f>
        <v>17.5</v>
      </c>
      <c r="F398" s="401">
        <f>AVERAGE(F396,E396)</f>
        <v>19.5</v>
      </c>
      <c r="G398" s="401">
        <f>AVERAGE(G396,F396)</f>
        <v>24</v>
      </c>
      <c r="H398" s="408">
        <f>AVERAGE(D396:G396)</f>
        <v>20.75</v>
      </c>
      <c r="I398" s="401">
        <f>AVERAGE(I396,G396)</f>
        <v>28.5</v>
      </c>
      <c r="J398" s="401">
        <f>AVERAGE(J396,I396)</f>
        <v>31.5</v>
      </c>
      <c r="K398" s="401">
        <f>AVERAGE(K396,J396)</f>
        <v>35</v>
      </c>
      <c r="L398" s="401">
        <f>AVERAGE(L396,K396)</f>
        <v>39</v>
      </c>
      <c r="M398" s="408">
        <f>AVERAGE(I396:L396)</f>
        <v>35.25</v>
      </c>
      <c r="N398" s="401">
        <f>AVERAGE(N396,L396)</f>
        <v>43.5</v>
      </c>
      <c r="O398" s="401">
        <f>AVERAGE(O396,N396)</f>
        <v>49</v>
      </c>
      <c r="P398" s="401">
        <f>AVERAGE(P396,O396)</f>
        <v>57</v>
      </c>
      <c r="Q398" s="401">
        <f>AVERAGE(Q396,P396)</f>
        <v>66.5</v>
      </c>
      <c r="R398" s="408">
        <f>AVERAGE(N396:Q396)</f>
        <v>57.75</v>
      </c>
      <c r="S398" s="401">
        <f>AVERAGE(S396,Q396)</f>
        <v>72.5</v>
      </c>
      <c r="T398" s="401">
        <f>AVERAGE(T396,S396)</f>
        <v>77</v>
      </c>
      <c r="U398" s="401">
        <f>AVERAGE(U396,T396)</f>
        <v>89</v>
      </c>
      <c r="V398" s="401">
        <f>AVERAGE(V396,U396)</f>
        <v>100.5</v>
      </c>
      <c r="W398" s="408">
        <f>AVERAGE(S396:V396)</f>
        <v>88.75</v>
      </c>
      <c r="X398" s="401">
        <f>AVERAGE(X396,V396)</f>
        <v>103</v>
      </c>
      <c r="Y398" s="401">
        <f>AVERAGE(Y396,X396)</f>
        <v>103.5</v>
      </c>
      <c r="Z398" s="401">
        <f>AVERAGE(Z396,Y396)</f>
        <v>105</v>
      </c>
      <c r="AA398" s="401">
        <f>AVERAGE(AA396,Z396)</f>
        <v>109.5</v>
      </c>
      <c r="AB398" s="408">
        <f>AVERAGE(X396:AA396)</f>
        <v>106.5</v>
      </c>
      <c r="AC398" s="401">
        <f>AVERAGE(AC396,AA396)</f>
        <v>113.5</v>
      </c>
      <c r="AD398" s="401">
        <f>AVERAGE(AD396,AC396)</f>
        <v>120</v>
      </c>
      <c r="AE398" s="401">
        <f>AVERAGE(AE396,AD396)</f>
        <v>128</v>
      </c>
      <c r="AF398" s="401">
        <f>AVERAGE(AF396,AE396)</f>
        <v>131.5</v>
      </c>
      <c r="AG398" s="408">
        <f>AVERAGE(AC396:AF396)</f>
        <v>125.75</v>
      </c>
      <c r="AH398" s="401">
        <f>AVERAGE(AH396,AF396)</f>
        <v>135.5</v>
      </c>
      <c r="AI398" s="401">
        <f>AVERAGE(AI396,AH396)</f>
        <v>142.5</v>
      </c>
      <c r="AJ398" s="401">
        <f>AVERAGE(AJ396,AI396)</f>
        <v>156</v>
      </c>
      <c r="AK398" s="401">
        <f>AVERAGE(AK396,AJ396)</f>
        <v>169.5</v>
      </c>
      <c r="AL398" s="408">
        <f>AVERAGE(AH396:AK396)</f>
        <v>156</v>
      </c>
      <c r="AM398" s="401">
        <f>AVERAGE(AM396,AK396)</f>
        <v>177</v>
      </c>
      <c r="AN398" s="401">
        <f>AVERAGE(AN396,AM396)</f>
        <v>184.5</v>
      </c>
      <c r="AO398" s="401">
        <f>AVERAGE(AO396,AN396)</f>
        <v>195</v>
      </c>
      <c r="AP398" s="401">
        <f>AVERAGE(AP396,AO396)</f>
        <v>206</v>
      </c>
      <c r="AQ398" s="408">
        <f>AVERAGE(AM396:AP396)</f>
        <v>195.25</v>
      </c>
      <c r="AR398" s="401">
        <f>AVERAGE(AR396,AP396)</f>
        <v>214.5</v>
      </c>
      <c r="AS398" s="401">
        <f>AVERAGE(AS396,AR396)</f>
        <v>222</v>
      </c>
      <c r="AT398" s="401">
        <f>AVERAGE(AT396,AS396)</f>
        <v>236.5</v>
      </c>
      <c r="AU398" s="401">
        <f>AVERAGE(AU396,AT396)</f>
        <v>250.5</v>
      </c>
      <c r="AV398" s="408">
        <f>AVERAGE(AR396:AU396)</f>
        <v>236.25</v>
      </c>
      <c r="AW398" s="401">
        <f>AVERAGE(AW396,AU396)</f>
        <v>258.5</v>
      </c>
      <c r="AX398" s="401">
        <f>AVERAGE(AX396,AW396)</f>
        <v>266.5</v>
      </c>
      <c r="AY398" s="401">
        <f>AVERAGE(AY396,AX396)</f>
        <v>279.5</v>
      </c>
      <c r="AZ398" s="401">
        <f>AVERAGE(AZ396,AY396)</f>
        <v>295.5</v>
      </c>
      <c r="BA398" s="408">
        <f>AVERAGE(AW396:AZ396)</f>
        <v>281</v>
      </c>
      <c r="BB398" s="401">
        <f>AVERAGE(BB396,AZ396)</f>
        <v>309</v>
      </c>
      <c r="BC398" s="401">
        <f>AVERAGE(BC396,BB396)</f>
        <v>326</v>
      </c>
      <c r="BD398" s="401">
        <f>AVERAGE(BD396,BC396)</f>
        <v>345</v>
      </c>
      <c r="BE398" s="401">
        <f>AVERAGE(BE396,BD396)</f>
        <v>358.5</v>
      </c>
      <c r="BF398" s="408">
        <f>AVERAGE(BB396:BE396)</f>
        <v>342.25</v>
      </c>
      <c r="BG398" s="401">
        <f>AVERAGE(BG396,BE396)</f>
        <v>368</v>
      </c>
      <c r="BH398" s="401">
        <f>AVERAGE(BH396,BG396)</f>
        <v>376</v>
      </c>
      <c r="BI398" s="401">
        <f>AVERAGE(BI396,BH396)</f>
        <v>384</v>
      </c>
      <c r="BJ398" s="401">
        <f>AVERAGE(BJ396,BI396)</f>
        <v>397.5</v>
      </c>
      <c r="BK398" s="408">
        <f>AVERAGE(BG396:BJ396)</f>
        <v>386.75</v>
      </c>
      <c r="BL398" s="401">
        <f>AVERAGE(BL396,BJ396)</f>
        <v>408.5</v>
      </c>
      <c r="BM398" s="401">
        <f>AVERAGE(BM396,BL396)</f>
        <v>416</v>
      </c>
      <c r="BN398" s="401">
        <f>AVERAGE(BN396,BM396)</f>
        <v>404.5</v>
      </c>
      <c r="BO398" s="401">
        <f>AVERAGE(BO396,BN396)</f>
        <v>396</v>
      </c>
      <c r="BP398" s="408">
        <f>AVERAGE(BL396:BO396)</f>
        <v>406</v>
      </c>
      <c r="BQ398" s="401">
        <f>AVERAGE(BQ396,BO396)</f>
        <v>407.5</v>
      </c>
      <c r="BR398" s="401">
        <f>AVERAGE(BR396,BQ396)</f>
        <v>413</v>
      </c>
      <c r="BS398" s="401">
        <f>AVERAGE(BS396,BR396)</f>
        <v>420.5</v>
      </c>
      <c r="BT398" s="401">
        <f>AVERAGE(BT396,BS396)</f>
        <v>433</v>
      </c>
      <c r="BU398" s="408">
        <f>AVERAGE(BQ396:BT396)</f>
        <v>423</v>
      </c>
      <c r="BV398" s="401">
        <f>AVERAGE(BV396,BT396)</f>
        <v>447.5</v>
      </c>
      <c r="BW398" s="401">
        <f>AVERAGE(BW396,BV396)</f>
        <v>457.5</v>
      </c>
      <c r="BX398" s="401">
        <f>AVERAGE(BX396,BW396)</f>
        <v>469.5</v>
      </c>
      <c r="BY398" s="401">
        <f>AVERAGE(BY396,BX396)</f>
        <v>485</v>
      </c>
      <c r="BZ398" s="408">
        <f>AVERAGE(BV396:BY396)</f>
        <v>471.25</v>
      </c>
      <c r="CA398" s="401">
        <f>AVERAGE(CA396,BY396)</f>
        <v>490</v>
      </c>
      <c r="CB398" s="401">
        <f>AVERAGE(CB396,CA396)</f>
        <v>497.5</v>
      </c>
      <c r="CC398" s="401">
        <f>AVERAGE(CC396,CB396)</f>
        <v>510.5</v>
      </c>
      <c r="CD398" s="401">
        <f>AVERAGE(CD396,CC396)</f>
        <v>518</v>
      </c>
      <c r="CE398" s="408">
        <f>AVERAGE(CA396:CD396)</f>
        <v>507.75</v>
      </c>
      <c r="CF398" s="401">
        <f>AVERAGE(CF396,CD396)</f>
        <v>522</v>
      </c>
      <c r="CG398" s="401">
        <f>AVERAGE(CG396,CF396)</f>
        <v>528.5</v>
      </c>
      <c r="CH398" s="401">
        <f>AVERAGE(CH396,CG396)</f>
        <v>543</v>
      </c>
      <c r="CI398" s="401">
        <f>AVERAGE(CI396,CH396)</f>
        <v>563</v>
      </c>
      <c r="CJ398" s="408">
        <f>AVERAGE(CF396:CI396)</f>
        <v>545.75</v>
      </c>
      <c r="CK398" s="401">
        <f>AVERAGE(CK396,CI396)</f>
        <v>576.5</v>
      </c>
      <c r="CL398" s="401">
        <f>AVERAGE(CL396,CK396)</f>
        <v>589.5</v>
      </c>
      <c r="CM398" s="401">
        <f>AVERAGE(CM396,CL396)</f>
        <v>611.5</v>
      </c>
      <c r="CN398" s="401">
        <f>AVERAGE(CN396,CM396)</f>
        <v>639</v>
      </c>
      <c r="CO398" s="408">
        <f>AVERAGE(CK396:CN396)</f>
        <v>614.25</v>
      </c>
      <c r="CP398" s="401">
        <f>AVERAGE(CP396,CN396)</f>
        <v>658.5</v>
      </c>
      <c r="CQ398" s="401">
        <f>AVERAGE(CQ396,CP396)</f>
        <v>667</v>
      </c>
      <c r="CR398" s="401">
        <f>AVERAGE(CR396,CQ396)</f>
        <v>679</v>
      </c>
      <c r="CS398" s="401">
        <f>AVERAGE(CS396,CR396)</f>
        <v>698.5</v>
      </c>
      <c r="CT398" s="408">
        <f>AVERAGE(CP396:CS396)</f>
        <v>682.75</v>
      </c>
      <c r="CU398" s="401"/>
      <c r="CV398" s="401"/>
      <c r="CW398" s="401"/>
      <c r="CX398" s="401"/>
      <c r="CY398" s="408"/>
      <c r="CZ398" s="401"/>
      <c r="DA398" s="401"/>
      <c r="DB398" s="401"/>
      <c r="DC398" s="401"/>
      <c r="DD398" s="408"/>
      <c r="DE398" s="401"/>
      <c r="DF398" s="401"/>
      <c r="DG398" s="401"/>
      <c r="DH398" s="401"/>
      <c r="DI398" s="408"/>
      <c r="DJ398" s="401"/>
      <c r="DK398" s="401"/>
      <c r="DL398" s="401"/>
      <c r="DM398" s="401"/>
      <c r="DN398" s="408"/>
      <c r="DO398" s="401"/>
      <c r="DP398" s="401"/>
      <c r="DQ398" s="401"/>
      <c r="DR398" s="401"/>
      <c r="DS398" s="408"/>
    </row>
    <row r="399" hidden="1" outlineLevel="1" spans="2:123">
      <c r="B399" s="149" t="s">
        <v>69</v>
      </c>
      <c r="C399" s="150"/>
      <c r="D399" s="151"/>
      <c r="E399" s="151"/>
      <c r="F399" s="151"/>
      <c r="G399" s="151"/>
      <c r="H399" s="254"/>
      <c r="I399" s="255">
        <f t="shared" ref="I399:AN399" si="1609">I398/D398-1</f>
        <v>0.838709677419355</v>
      </c>
      <c r="J399" s="255">
        <f t="shared" si="1609"/>
        <v>0.8</v>
      </c>
      <c r="K399" s="255">
        <f t="shared" si="1609"/>
        <v>0.794871794871795</v>
      </c>
      <c r="L399" s="255">
        <f t="shared" si="1609"/>
        <v>0.625</v>
      </c>
      <c r="M399" s="254">
        <f t="shared" si="1609"/>
        <v>0.698795180722892</v>
      </c>
      <c r="N399" s="255">
        <f t="shared" si="1609"/>
        <v>0.526315789473684</v>
      </c>
      <c r="O399" s="255">
        <f t="shared" si="1609"/>
        <v>0.555555555555556</v>
      </c>
      <c r="P399" s="255">
        <f t="shared" si="1609"/>
        <v>0.628571428571429</v>
      </c>
      <c r="Q399" s="255">
        <f t="shared" si="1609"/>
        <v>0.705128205128205</v>
      </c>
      <c r="R399" s="254">
        <f t="shared" si="1609"/>
        <v>0.638297872340426</v>
      </c>
      <c r="S399" s="255">
        <f t="shared" si="1609"/>
        <v>0.666666666666667</v>
      </c>
      <c r="T399" s="255">
        <f t="shared" si="1609"/>
        <v>0.571428571428571</v>
      </c>
      <c r="U399" s="255">
        <f t="shared" si="1609"/>
        <v>0.56140350877193</v>
      </c>
      <c r="V399" s="255">
        <f t="shared" si="1609"/>
        <v>0.511278195488722</v>
      </c>
      <c r="W399" s="254">
        <f t="shared" si="1609"/>
        <v>0.536796536796537</v>
      </c>
      <c r="X399" s="255">
        <f t="shared" si="1609"/>
        <v>0.420689655172414</v>
      </c>
      <c r="Y399" s="255">
        <f t="shared" si="1609"/>
        <v>0.344155844155844</v>
      </c>
      <c r="Z399" s="255">
        <f t="shared" si="1609"/>
        <v>0.179775280898876</v>
      </c>
      <c r="AA399" s="255">
        <f t="shared" si="1609"/>
        <v>0.0895522388059702</v>
      </c>
      <c r="AB399" s="254">
        <f t="shared" si="1609"/>
        <v>0.2</v>
      </c>
      <c r="AC399" s="255">
        <f t="shared" si="1609"/>
        <v>0.101941747572815</v>
      </c>
      <c r="AD399" s="255">
        <f t="shared" si="1609"/>
        <v>0.159420289855073</v>
      </c>
      <c r="AE399" s="255">
        <f t="shared" si="1609"/>
        <v>0.219047619047619</v>
      </c>
      <c r="AF399" s="255">
        <f t="shared" si="1609"/>
        <v>0.200913242009132</v>
      </c>
      <c r="AG399" s="254">
        <f t="shared" si="1609"/>
        <v>0.18075117370892</v>
      </c>
      <c r="AH399" s="255">
        <f t="shared" si="1609"/>
        <v>0.193832599118943</v>
      </c>
      <c r="AI399" s="255">
        <f t="shared" si="1609"/>
        <v>0.1875</v>
      </c>
      <c r="AJ399" s="255">
        <f t="shared" si="1609"/>
        <v>0.21875</v>
      </c>
      <c r="AK399" s="255">
        <f t="shared" si="1609"/>
        <v>0.288973384030418</v>
      </c>
      <c r="AL399" s="254">
        <f t="shared" si="1609"/>
        <v>0.240556660039762</v>
      </c>
      <c r="AM399" s="255">
        <f t="shared" si="1609"/>
        <v>0.306273062730627</v>
      </c>
      <c r="AN399" s="255">
        <f t="shared" si="1609"/>
        <v>0.294736842105263</v>
      </c>
      <c r="AO399" s="255">
        <f t="shared" ref="AO399:BT399" si="1610">AO398/AJ398-1</f>
        <v>0.25</v>
      </c>
      <c r="AP399" s="255">
        <f t="shared" si="1610"/>
        <v>0.215339233038348</v>
      </c>
      <c r="AQ399" s="254">
        <f t="shared" si="1610"/>
        <v>0.251602564102564</v>
      </c>
      <c r="AR399" s="255">
        <f t="shared" si="1610"/>
        <v>0.211864406779661</v>
      </c>
      <c r="AS399" s="255">
        <f t="shared" si="1610"/>
        <v>0.203252032520325</v>
      </c>
      <c r="AT399" s="255">
        <f t="shared" si="1610"/>
        <v>0.212820512820513</v>
      </c>
      <c r="AU399" s="255">
        <f t="shared" si="1610"/>
        <v>0.216019417475728</v>
      </c>
      <c r="AV399" s="254">
        <f t="shared" si="1610"/>
        <v>0.209987195902689</v>
      </c>
      <c r="AW399" s="255">
        <f t="shared" si="1610"/>
        <v>0.205128205128205</v>
      </c>
      <c r="AX399" s="255">
        <f t="shared" si="1610"/>
        <v>0.200450450450451</v>
      </c>
      <c r="AY399" s="255">
        <f t="shared" si="1610"/>
        <v>0.181818181818182</v>
      </c>
      <c r="AZ399" s="255">
        <f t="shared" si="1610"/>
        <v>0.179640718562874</v>
      </c>
      <c r="BA399" s="254">
        <f t="shared" si="1610"/>
        <v>0.189417989417989</v>
      </c>
      <c r="BB399" s="255">
        <f t="shared" si="1610"/>
        <v>0.195357833655706</v>
      </c>
      <c r="BC399" s="255">
        <f t="shared" si="1610"/>
        <v>0.223264540337711</v>
      </c>
      <c r="BD399" s="255">
        <f t="shared" si="1610"/>
        <v>0.234347048300537</v>
      </c>
      <c r="BE399" s="255">
        <f t="shared" si="1610"/>
        <v>0.213197969543147</v>
      </c>
      <c r="BF399" s="254">
        <f t="shared" si="1610"/>
        <v>0.21797153024911</v>
      </c>
      <c r="BG399" s="255">
        <f t="shared" si="1610"/>
        <v>0.190938511326861</v>
      </c>
      <c r="BH399" s="255">
        <f t="shared" si="1610"/>
        <v>0.153374233128834</v>
      </c>
      <c r="BI399" s="255">
        <f t="shared" si="1610"/>
        <v>0.11304347826087</v>
      </c>
      <c r="BJ399" s="255">
        <f t="shared" si="1610"/>
        <v>0.108786610878661</v>
      </c>
      <c r="BK399" s="254">
        <f t="shared" si="1610"/>
        <v>0.130021913805697</v>
      </c>
      <c r="BL399" s="255">
        <f t="shared" si="1610"/>
        <v>0.110054347826087</v>
      </c>
      <c r="BM399" s="255">
        <f t="shared" si="1610"/>
        <v>0.106382978723404</v>
      </c>
      <c r="BN399" s="255">
        <f t="shared" si="1610"/>
        <v>0.0533854166666667</v>
      </c>
      <c r="BO399" s="255">
        <f t="shared" si="1610"/>
        <v>-0.00377358490566038</v>
      </c>
      <c r="BP399" s="254">
        <f t="shared" si="1610"/>
        <v>0.0497737556561086</v>
      </c>
      <c r="BQ399" s="255">
        <f t="shared" si="1610"/>
        <v>-0.00244798041615668</v>
      </c>
      <c r="BR399" s="255">
        <f t="shared" si="1610"/>
        <v>-0.00721153846153844</v>
      </c>
      <c r="BS399" s="255">
        <f t="shared" si="1610"/>
        <v>0.0395550061804697</v>
      </c>
      <c r="BT399" s="255">
        <f t="shared" si="1610"/>
        <v>0.0934343434343434</v>
      </c>
      <c r="BU399" s="254">
        <f t="shared" ref="BU399:CR399" si="1611">BU398/BP398-1</f>
        <v>0.041871921182266</v>
      </c>
      <c r="BV399" s="255">
        <f t="shared" si="1611"/>
        <v>0.0981595092024541</v>
      </c>
      <c r="BW399" s="255">
        <f t="shared" si="1611"/>
        <v>0.10774818401937</v>
      </c>
      <c r="BX399" s="255">
        <f t="shared" si="1611"/>
        <v>0.116527942925089</v>
      </c>
      <c r="BY399" s="255">
        <f t="shared" si="1611"/>
        <v>0.120092378752887</v>
      </c>
      <c r="BZ399" s="254">
        <f t="shared" si="1611"/>
        <v>0.114066193853428</v>
      </c>
      <c r="CA399" s="255">
        <f t="shared" si="1611"/>
        <v>0.0949720670391061</v>
      </c>
      <c r="CB399" s="255">
        <f t="shared" si="1611"/>
        <v>0.0874316939890711</v>
      </c>
      <c r="CC399" s="255">
        <f t="shared" si="1611"/>
        <v>0.0873269435569755</v>
      </c>
      <c r="CD399" s="255">
        <f t="shared" si="1611"/>
        <v>0.068041237113402</v>
      </c>
      <c r="CE399" s="254">
        <f t="shared" si="1611"/>
        <v>0.0774535809018568</v>
      </c>
      <c r="CF399" s="255">
        <f t="shared" si="1611"/>
        <v>0.0653061224489795</v>
      </c>
      <c r="CG399" s="255">
        <f t="shared" si="1611"/>
        <v>0.0623115577889448</v>
      </c>
      <c r="CH399" s="255">
        <f t="shared" si="1611"/>
        <v>0.0636630754162586</v>
      </c>
      <c r="CI399" s="255">
        <f t="shared" si="1611"/>
        <v>0.0868725868725868</v>
      </c>
      <c r="CJ399" s="254">
        <f t="shared" si="1611"/>
        <v>0.0748399803052684</v>
      </c>
      <c r="CK399" s="255">
        <f t="shared" si="1611"/>
        <v>0.104406130268199</v>
      </c>
      <c r="CL399" s="255">
        <f t="shared" si="1611"/>
        <v>0.115421002838221</v>
      </c>
      <c r="CM399" s="255">
        <f t="shared" si="1611"/>
        <v>0.126151012891344</v>
      </c>
      <c r="CN399" s="255">
        <f t="shared" si="1611"/>
        <v>0.134991119005329</v>
      </c>
      <c r="CO399" s="254">
        <f t="shared" si="1611"/>
        <v>0.125515345854329</v>
      </c>
      <c r="CP399" s="255">
        <f t="shared" si="1611"/>
        <v>0.142237640936687</v>
      </c>
      <c r="CQ399" s="255">
        <f t="shared" si="1611"/>
        <v>0.131467345207803</v>
      </c>
      <c r="CR399" s="255">
        <f t="shared" si="1611"/>
        <v>0.110384300899428</v>
      </c>
      <c r="CS399" s="255">
        <f t="shared" ref="CS399:CT399" si="1612">CS398/CN398-1</f>
        <v>0.0931142410015648</v>
      </c>
      <c r="CT399" s="254">
        <f t="shared" si="1612"/>
        <v>0.111518111518111</v>
      </c>
      <c r="CU399" s="255"/>
      <c r="CV399" s="255"/>
      <c r="CW399" s="255"/>
      <c r="CX399" s="255"/>
      <c r="CY399" s="254"/>
      <c r="CZ399" s="255"/>
      <c r="DA399" s="255"/>
      <c r="DB399" s="255"/>
      <c r="DC399" s="255"/>
      <c r="DD399" s="254"/>
      <c r="DE399" s="255"/>
      <c r="DF399" s="255"/>
      <c r="DG399" s="255"/>
      <c r="DH399" s="255"/>
      <c r="DI399" s="254"/>
      <c r="DJ399" s="255"/>
      <c r="DK399" s="255"/>
      <c r="DL399" s="255"/>
      <c r="DM399" s="255"/>
      <c r="DN399" s="254"/>
      <c r="DO399" s="255"/>
      <c r="DP399" s="255"/>
      <c r="DQ399" s="255"/>
      <c r="DR399" s="255"/>
      <c r="DS399" s="254"/>
    </row>
    <row r="400" s="4" customFormat="1" hidden="1" outlineLevel="1" spans="2:123">
      <c r="B400" s="149" t="s">
        <v>449</v>
      </c>
      <c r="C400" s="150"/>
      <c r="D400" s="151"/>
      <c r="E400" s="151"/>
      <c r="F400" s="151"/>
      <c r="G400" s="151"/>
      <c r="H400" s="150"/>
      <c r="I400" s="151"/>
      <c r="J400" s="151"/>
      <c r="K400" s="151"/>
      <c r="L400" s="151"/>
      <c r="M400" s="150"/>
      <c r="N400" s="255">
        <f>((1+N384)/((1+N388)*(1+N390))-1)/N449</f>
        <v>0.725996430922804</v>
      </c>
      <c r="O400" s="255">
        <f>((1+O384)/((1+O388)*(1+O390))-1)/O449</f>
        <v>0.839117317808452</v>
      </c>
      <c r="P400" s="255">
        <f>((1+P384)/((1+P388)*(1+P390))-1)/P449</f>
        <v>0.783511973901639</v>
      </c>
      <c r="Q400" s="255">
        <f>((1+Q384)/((1+Q388)*(1+Q390))-1)/Q449</f>
        <v>0.874556428658087</v>
      </c>
      <c r="R400" s="254">
        <f>SUMPRODUCT(N400:Q400,I383:L383)/M383</f>
        <v>0.817452654021871</v>
      </c>
      <c r="S400" s="255">
        <f>((1+S384)/((1+S388)*(1+S390))-1)/S449</f>
        <v>0.799352754683224</v>
      </c>
      <c r="T400" s="255">
        <f>((1+T384)/((1+T388)*(1+T390))-1)/T449</f>
        <v>0.471055750263335</v>
      </c>
      <c r="U400" s="255">
        <f>((1+U384)/((1+U388)*(1+U390))-1)/U449</f>
        <v>0.557793502132162</v>
      </c>
      <c r="V400" s="255">
        <f>((1+V384)/((1+V388)*(1+V390))-1)/V449</f>
        <v>0.432565263825904</v>
      </c>
      <c r="W400" s="254">
        <f>SUMPRODUCT(S400:V400,N383:Q383)/R383</f>
        <v>0.52901332818879</v>
      </c>
      <c r="X400" s="255">
        <f>((1+X384)/((1+X388)*(1+X390))-1)/X449</f>
        <v>0.706911629970955</v>
      </c>
      <c r="Y400" s="255">
        <f>((1+Y384)/((1+Y388)*(1+Y390))-1)/Y449</f>
        <v>0.763172615205737</v>
      </c>
      <c r="Z400" s="255">
        <f>((1+Z384)/((1+Z388)*(1+Z390))-1)/Z449</f>
        <v>1.30759407106236</v>
      </c>
      <c r="AA400" s="255">
        <f>((1+AA384)/((1+AA388)*(1+AA390))-1)/AA449</f>
        <v>1.01962053049043</v>
      </c>
      <c r="AB400" s="254">
        <f>SUMPRODUCT(X400:AA400,S383:V383)/W383</f>
        <v>0.956839635783695</v>
      </c>
      <c r="AC400" s="255">
        <f>((1+AC384)/((1+AC388)*(1+AC390))-1)/AC449</f>
        <v>0.370213742683181</v>
      </c>
      <c r="AD400" s="255">
        <f>((1+AD384)/((1+AD388)*(1+AD390))-1)/AD449</f>
        <v>0.451896437172464</v>
      </c>
      <c r="AE400" s="255">
        <f>((1+AE384)/((1+AE388)*(1+AE390))-1)/AE449</f>
        <v>0.382534547371016</v>
      </c>
      <c r="AF400" s="255">
        <f>((1+AF384)/((1+AF388)*(1+AF390))-1)/AF449</f>
        <v>0.475426212905462</v>
      </c>
      <c r="AG400" s="254">
        <f>SUMPRODUCT(AC400:AF400,X383:AA383)/AB383</f>
        <v>0.427923943080751</v>
      </c>
      <c r="AH400" s="255">
        <f>((1+AH384)/((1+AH388)*(1+AH390))-1)/AH449</f>
        <v>0.741630629675466</v>
      </c>
      <c r="AI400" s="255">
        <f>((1+AI384)/((1+AI388)*(1+AI390))-1)/AI449</f>
        <v>0.541288077012012</v>
      </c>
      <c r="AJ400" s="255">
        <f>((1+AJ384)/((1+AJ388)*(1+AJ390))-1)/AJ449</f>
        <v>0.516880889098328</v>
      </c>
      <c r="AK400" s="255">
        <f>((1+AK384)/((1+AK388)*(1+AK390))-1)/AK449</f>
        <v>0.532139623555532</v>
      </c>
      <c r="AL400" s="254">
        <f>SUMPRODUCT(AH400:AK400,AC383:AF383)/AG383</f>
        <v>0.571421195098946</v>
      </c>
      <c r="AM400" s="255">
        <f>((1+AM384)/((1+AM388)*(1+AM390))-1)/AM449</f>
        <v>0.562023502997709</v>
      </c>
      <c r="AN400" s="255">
        <f>((1+AN384)/((1+AN388)*(1+AN390))-1)/AN449</f>
        <v>0.488352159371986</v>
      </c>
      <c r="AO400" s="255">
        <f>((1+AO384)/((1+AO388)*(1+AO390))-1)/AO449</f>
        <v>0.488705566433815</v>
      </c>
      <c r="AP400" s="255">
        <f>((1+AP384)/((1+AP388)*(1+AP390))-1)/AP449</f>
        <v>0.746574250801711</v>
      </c>
      <c r="AQ400" s="254">
        <f>SUMPRODUCT(AM400:AP400,AH383:AK383)/AL383</f>
        <v>0.594957661522333</v>
      </c>
      <c r="AR400" s="255">
        <f>((1+AR384)/((1+AR388)*(1+AR390))-1)/AR449</f>
        <v>0.491772887839551</v>
      </c>
      <c r="AS400" s="255">
        <f>((1+AS384)/((1+AS388)*(1+AS390))-1)/AS449</f>
        <v>0.522018104356322</v>
      </c>
      <c r="AT400" s="255">
        <f>((1+AT384)/((1+AT388)*(1+AT390))-1)/AT449</f>
        <v>0.563071996623619</v>
      </c>
      <c r="AU400" s="255">
        <f>((1+AU384)/((1+AU388)*(1+AU390))-1)/AU449</f>
        <v>0.414212953099154</v>
      </c>
      <c r="AV400" s="254">
        <f>SUMPRODUCT(AR400:AU400,AM383:AP383)/AQ383</f>
        <v>0.487779660968204</v>
      </c>
      <c r="AW400" s="255">
        <f>((1+AW384)/((1+AW388)*(1+AW390))-1)/AW449</f>
        <v>0.664162698931975</v>
      </c>
      <c r="AX400" s="255">
        <f>((1+AX384)/((1+AX388)*(1+AX390))-1)/AX449</f>
        <v>0.728983629602825</v>
      </c>
      <c r="AY400" s="255">
        <f>((1+AY384)/((1+AY388)*(1+AY390))-1)/AY449</f>
        <v>0.636392622773285</v>
      </c>
      <c r="AZ400" s="255">
        <f>((1+AZ384)/((1+AZ388)*(1+AZ390))-1)/AZ449</f>
        <v>0.697735356147631</v>
      </c>
      <c r="BA400" s="254">
        <f>SUMPRODUCT(AW400:AZ400,AR383:AU383)/AV383</f>
        <v>0.682830136663039</v>
      </c>
      <c r="BB400" s="255">
        <f>((1+BB384)/((1+BB388)*(1+BB390))-1)/BB449</f>
        <v>0.674911712059654</v>
      </c>
      <c r="BC400" s="255">
        <f>((1+BC384)/((1+BC388)*(1+BC390))-1)/BC449</f>
        <v>0.626863289103301</v>
      </c>
      <c r="BD400" s="255">
        <f>((1+BD384)/((1+BD388)*(1+BD390))-1)/BD449</f>
        <v>0.610218948101583</v>
      </c>
      <c r="BE400" s="255">
        <f>((1+BE384)/((1+BE388)*(1+BE390))-1)/BE449</f>
        <v>0.502130231961512</v>
      </c>
      <c r="BF400" s="254">
        <f>SUMPRODUCT(BB400:BE400,AW383:AZ383)/BA383</f>
        <v>0.591109475459574</v>
      </c>
      <c r="BG400" s="255">
        <f>((1+BG384)/((1+BG388)*(1+BG390))-1)/BG449</f>
        <v>0.575800645771229</v>
      </c>
      <c r="BH400" s="255">
        <f>((1+BH384)/((1+BH388)*(1+BH390))-1)/BH449</f>
        <v>0.583812075903995</v>
      </c>
      <c r="BI400" s="255">
        <f>((1+BI384)/((1+BI388)*(1+BI390))-1)/BI449</f>
        <v>0.595039446950386</v>
      </c>
      <c r="BJ400" s="255">
        <f>((1+BJ384)/((1+BJ388)*(1+BJ390))-1)/BJ449</f>
        <v>0.536072930593209</v>
      </c>
      <c r="BK400" s="254">
        <f>SUMPRODUCT(BG400:BJ400,BB383:BE383)/BF383</f>
        <v>0.568742555692735</v>
      </c>
      <c r="BL400" s="255">
        <f>((1+BL384)/((1+BL388)*(1+BL390))-1)/BL449</f>
        <v>0.744001544923921</v>
      </c>
      <c r="BM400" s="255">
        <f>((1+BM384)/((1+BM388)*(1+BM390))-1)/BM449</f>
        <v>0.616258324048554</v>
      </c>
      <c r="BN400" s="255">
        <f>((1+BN384)/(1+BN388)*(1+BN390)*(1+BN401))/(1+BN449)*((1+BN401)*0.75)</f>
        <v>0.724014809788773</v>
      </c>
      <c r="BO400" s="255">
        <f>((1+BO384)/(1+BO388)*(1+BO390)*(1+BO401))/(1+BO449)*((1+BO401)*0.75)</f>
        <v>0.76467429373798</v>
      </c>
      <c r="BP400" s="254">
        <f>SUMPRODUCT(BL400:BO400,BG383:BJ383)/BK383</f>
        <v>0.717724407742619</v>
      </c>
      <c r="BQ400" s="255">
        <f>((1+BQ384)/(1+BQ388)*(1+BQ390)*(1+BQ401))/(1+BQ449)*((1+BQ401)*0.75)</f>
        <v>0.767832299297494</v>
      </c>
      <c r="BR400" s="255">
        <f>((1+BR384)/(1+BR388)*(1+BR390)*(1+BR401))/(1+BR449)*((1+BR401)*0.75)</f>
        <v>0.728280459462217</v>
      </c>
      <c r="BS400" s="255">
        <f>((1+BS384)/((1+BS388)*(1+BS390))-1)/BS449</f>
        <v>0.63159476133824</v>
      </c>
      <c r="BT400" s="255">
        <f>((1+BT384)/((1+BT388)*(1+BT390))-1)/BT449</f>
        <v>0.682875506504953</v>
      </c>
      <c r="BU400" s="254">
        <f>SUMPRODUCT(BQ400:BT400,BL383:BO383)/BP383</f>
        <v>0.698772085010427</v>
      </c>
      <c r="BV400" s="255">
        <f>((1+BV384)/((1+BV388)*(1+BV390))-1)/BV449</f>
        <v>0.611271834162907</v>
      </c>
      <c r="BW400" s="255">
        <f>((1+BW384)/((1+BW388)*(1+BW390))-1)/BW449</f>
        <v>0.58267073892074</v>
      </c>
      <c r="BX400" s="255">
        <f>((1+BX384)/((1+BX388)*(1+BX390))-1)/BX449</f>
        <v>0.599560436809591</v>
      </c>
      <c r="BY400" s="255">
        <f>((1+BY384)/((1+BY388)*(1+BY390))-1)/BY449</f>
        <v>0.247744459382054</v>
      </c>
      <c r="BZ400" s="254">
        <f>SUMPRODUCT(BV400:BY400,BQ383:BT383)/BU383</f>
        <v>0.477306423543588</v>
      </c>
      <c r="CA400" s="392">
        <f>((1+CA384)/((1+CA388)*(1+CA390))-1)/CA449</f>
        <v>0.0999999999999983</v>
      </c>
      <c r="CB400" s="392">
        <f>((1+CB384)/((1+CB388)*(1+CB390))-1)/CB449</f>
        <v>0.200000000000001</v>
      </c>
      <c r="CC400" s="392">
        <f>((1+CC384)/((1+CC388)*(1+CC390))-1)/CC449</f>
        <v>0.472014596417496</v>
      </c>
      <c r="CD400" s="392">
        <f>((1+CD384)/((1+CD388)*(1+CD390))-1)/CD449</f>
        <v>0.053122283782013</v>
      </c>
      <c r="CE400" s="254">
        <f>SUMPRODUCT(CA400:CD400,BV383:BY383)/BZ383</f>
        <v>0.193953057585691</v>
      </c>
      <c r="CF400" s="392">
        <f>((1+CF384)/((1+CF388)*(1+CF390))-1)/CF449</f>
        <v>0.604197456971291</v>
      </c>
      <c r="CG400" s="392">
        <f>((1+CG384)/((1+CG388)*(1+CG390))-1)/CG449</f>
        <v>0.612911553433079</v>
      </c>
      <c r="CH400" s="392">
        <f>((1+CH384)/((1+CH388)*(1+CH390))-1)/CH449</f>
        <v>0.462704521814096</v>
      </c>
      <c r="CI400" s="392">
        <f>((1+CI384)/((1+CI388)*(1+CI390))-1)/CI449</f>
        <v>0.911781751720998</v>
      </c>
      <c r="CJ400" s="254">
        <f>SUMPRODUCT(CF400:CI400,CA383:CD383)/CE383</f>
        <v>0.673287353685176</v>
      </c>
      <c r="CK400" s="392">
        <f>((1+CK384)/((1+CK388)*(1+CK390))-1)/CK449</f>
        <v>0.661324761294199</v>
      </c>
      <c r="CL400" s="392">
        <f>((1+CL384)/((1+CL388)*(1+CL390))-1)/CL449</f>
        <v>0.719917956195216</v>
      </c>
      <c r="CM400" s="392">
        <f>((1+CM384)/((1+CM388)*(1+CM390))-1)/CM449</f>
        <v>0.66028855278331</v>
      </c>
      <c r="CN400" s="392">
        <f>((1+CN384)/((1+CN388)*(1+CN390))-1)/CN449</f>
        <v>0.478643831499919</v>
      </c>
      <c r="CO400" s="254">
        <f>SUMPRODUCT(CK400:CN400,CF383:CI383)/CJ383</f>
        <v>0.618353359702037</v>
      </c>
      <c r="CP400" s="392">
        <f>((1+CP384)/((1+CP388)*(1+CP390))-1)/CP449</f>
        <v>0.756529196121083</v>
      </c>
      <c r="CQ400" s="392">
        <f>((1+CQ384)/((1+CQ388)*(1+CQ390))-1)/CQ449</f>
        <v>0.664941728612688</v>
      </c>
      <c r="CR400" s="392">
        <f>((1+CR384)/((1+CR388)*(1+CR390))-1)/CR449</f>
        <v>0.503887922754785</v>
      </c>
      <c r="CS400" s="392">
        <f>((1+CS384)/((1+CS388)*(1+CS390))-1)/CS449</f>
        <v>0.622436452528579</v>
      </c>
      <c r="CT400" s="254">
        <f>SUMPRODUCT(CP400:CS400,CK383:CN383)/CO383</f>
        <v>0.630504123828382</v>
      </c>
      <c r="CU400" s="392"/>
      <c r="CV400" s="392"/>
      <c r="CW400" s="392"/>
      <c r="CX400" s="392"/>
      <c r="CY400" s="254"/>
      <c r="CZ400" s="392"/>
      <c r="DA400" s="392"/>
      <c r="DB400" s="393"/>
      <c r="DC400" s="393"/>
      <c r="DD400" s="254"/>
      <c r="DE400" s="393"/>
      <c r="DF400" s="393"/>
      <c r="DG400" s="393"/>
      <c r="DH400" s="393"/>
      <c r="DI400" s="254"/>
      <c r="DJ400" s="393"/>
      <c r="DK400" s="393"/>
      <c r="DL400" s="393"/>
      <c r="DM400" s="393"/>
      <c r="DN400" s="254"/>
      <c r="DO400" s="393"/>
      <c r="DP400" s="393"/>
      <c r="DQ400" s="393"/>
      <c r="DR400" s="393"/>
      <c r="DS400" s="254"/>
    </row>
    <row r="401" s="4" customFormat="1" hidden="1" outlineLevel="1" spans="2:123">
      <c r="B401" s="413" t="s">
        <v>450</v>
      </c>
      <c r="C401" s="414"/>
      <c r="D401" s="415"/>
      <c r="E401" s="415"/>
      <c r="F401" s="415"/>
      <c r="G401" s="415"/>
      <c r="H401" s="414"/>
      <c r="I401" s="415"/>
      <c r="J401" s="415"/>
      <c r="K401" s="415"/>
      <c r="L401" s="415"/>
      <c r="M401" s="414"/>
      <c r="N401" s="416"/>
      <c r="O401" s="416"/>
      <c r="P401" s="416"/>
      <c r="Q401" s="416"/>
      <c r="R401" s="417"/>
      <c r="S401" s="416"/>
      <c r="T401" s="416"/>
      <c r="U401" s="416"/>
      <c r="V401" s="416"/>
      <c r="W401" s="417"/>
      <c r="X401" s="416"/>
      <c r="Y401" s="416"/>
      <c r="Z401" s="416"/>
      <c r="AA401" s="416"/>
      <c r="AB401" s="417"/>
      <c r="AC401" s="416"/>
      <c r="AD401" s="416"/>
      <c r="AE401" s="416"/>
      <c r="AF401" s="416"/>
      <c r="AG401" s="417"/>
      <c r="AH401" s="416"/>
      <c r="AI401" s="416"/>
      <c r="AJ401" s="416"/>
      <c r="AK401" s="416"/>
      <c r="AL401" s="417"/>
      <c r="AM401" s="416"/>
      <c r="AN401" s="416"/>
      <c r="AO401" s="416"/>
      <c r="AP401" s="416"/>
      <c r="AQ401" s="417"/>
      <c r="AR401" s="416"/>
      <c r="AS401" s="416"/>
      <c r="AT401" s="416"/>
      <c r="AU401" s="416"/>
      <c r="AV401" s="417"/>
      <c r="AW401" s="416"/>
      <c r="AX401" s="416"/>
      <c r="AY401" s="416"/>
      <c r="AZ401" s="416"/>
      <c r="BA401" s="417"/>
      <c r="BB401" s="416"/>
      <c r="BC401" s="416"/>
      <c r="BD401" s="416"/>
      <c r="BE401" s="416"/>
      <c r="BF401" s="417"/>
      <c r="BG401" s="416"/>
      <c r="BH401" s="416"/>
      <c r="BI401" s="416"/>
      <c r="BJ401" s="416"/>
      <c r="BK401" s="417"/>
      <c r="BL401" s="416"/>
      <c r="BM401" s="416"/>
      <c r="BN401" s="418">
        <v>-0.02</v>
      </c>
      <c r="BO401" s="418">
        <v>-0.02</v>
      </c>
      <c r="BP401" s="254">
        <f>(BL401*BL383+BM401*BM383+BN401*BN383+BO401*BO383)/BP383</f>
        <v>-0.0113660921382896</v>
      </c>
      <c r="BQ401" s="418">
        <v>-0.02</v>
      </c>
      <c r="BR401" s="418">
        <v>-0.02</v>
      </c>
      <c r="BS401" s="419"/>
      <c r="BT401" s="419"/>
      <c r="BU401" s="254">
        <f>(BQ401*BQ383+BR401*BR383+BS401*BS383+BT401*BT383)/BU383</f>
        <v>-0.00864875846692216</v>
      </c>
      <c r="BV401" s="419"/>
      <c r="BW401" s="419"/>
      <c r="BX401" s="419"/>
      <c r="BY401" s="419"/>
      <c r="BZ401" s="254">
        <f>(BV401*BV383+BW401*BW383+BX401*BX383+BY401*BY383)/BZ383</f>
        <v>0</v>
      </c>
      <c r="CA401" s="419"/>
      <c r="CB401" s="419"/>
      <c r="CC401" s="419"/>
      <c r="CD401" s="419"/>
      <c r="CE401" s="417"/>
      <c r="CF401" s="419"/>
      <c r="CG401" s="419"/>
      <c r="CH401" s="419"/>
      <c r="CI401" s="419"/>
      <c r="CJ401" s="417"/>
      <c r="CK401" s="419"/>
      <c r="CL401" s="419"/>
      <c r="CM401" s="419"/>
      <c r="CN401" s="419"/>
      <c r="CO401" s="417"/>
      <c r="CP401" s="419"/>
      <c r="CQ401" s="419"/>
      <c r="CR401" s="419"/>
      <c r="CS401" s="419"/>
      <c r="CT401" s="417"/>
      <c r="CU401" s="419"/>
      <c r="CV401" s="419"/>
      <c r="CW401" s="419"/>
      <c r="CX401" s="420"/>
      <c r="CY401" s="421"/>
      <c r="CZ401" s="420"/>
      <c r="DA401" s="420"/>
      <c r="DB401" s="419"/>
      <c r="DC401" s="419"/>
      <c r="DD401" s="417"/>
      <c r="DE401" s="419"/>
      <c r="DF401" s="419"/>
      <c r="DG401" s="419"/>
      <c r="DH401" s="419"/>
      <c r="DI401" s="417"/>
      <c r="DJ401" s="419"/>
      <c r="DK401" s="419"/>
      <c r="DL401" s="419"/>
      <c r="DM401" s="419"/>
      <c r="DN401" s="417"/>
      <c r="DO401" s="419"/>
      <c r="DP401" s="419"/>
      <c r="DQ401" s="419"/>
      <c r="DR401" s="419"/>
      <c r="DS401" s="417"/>
    </row>
    <row r="402" hidden="1" outlineLevel="1" spans="2:123">
      <c r="B402" s="245"/>
      <c r="C402" s="246"/>
      <c r="D402" s="247"/>
      <c r="E402" s="247"/>
      <c r="F402" s="247"/>
      <c r="G402" s="247"/>
      <c r="H402" s="246"/>
      <c r="I402" s="247"/>
      <c r="J402" s="247"/>
      <c r="K402" s="247"/>
      <c r="L402" s="247"/>
      <c r="M402" s="246"/>
      <c r="N402" s="247"/>
      <c r="O402" s="247"/>
      <c r="P402" s="247"/>
      <c r="Q402" s="247"/>
      <c r="R402" s="246"/>
      <c r="S402" s="247"/>
      <c r="T402" s="247"/>
      <c r="U402" s="247"/>
      <c r="V402" s="247"/>
      <c r="W402" s="246"/>
      <c r="X402" s="247"/>
      <c r="Y402" s="247"/>
      <c r="Z402" s="247"/>
      <c r="AA402" s="247"/>
      <c r="AB402" s="246"/>
      <c r="AC402" s="247"/>
      <c r="AD402" s="247"/>
      <c r="AE402" s="247"/>
      <c r="AF402" s="247"/>
      <c r="AG402" s="246"/>
      <c r="AH402" s="247"/>
      <c r="AI402" s="247"/>
      <c r="AJ402" s="247"/>
      <c r="AK402" s="247"/>
      <c r="AL402" s="246"/>
      <c r="AM402" s="247"/>
      <c r="AN402" s="247"/>
      <c r="AO402" s="247"/>
      <c r="AP402" s="247"/>
      <c r="AQ402" s="246"/>
      <c r="AR402" s="247"/>
      <c r="AS402" s="247"/>
      <c r="AT402" s="247"/>
      <c r="AU402" s="247"/>
      <c r="AV402" s="246"/>
      <c r="AW402" s="247"/>
      <c r="AX402" s="247"/>
      <c r="AY402" s="247"/>
      <c r="AZ402" s="247"/>
      <c r="BA402" s="246"/>
      <c r="BB402" s="247"/>
      <c r="BC402" s="247"/>
      <c r="BD402" s="247"/>
      <c r="BE402" s="247"/>
      <c r="BF402" s="246"/>
      <c r="BG402" s="247"/>
      <c r="BH402" s="247"/>
      <c r="BI402" s="247"/>
      <c r="BJ402" s="247"/>
      <c r="BK402" s="246"/>
      <c r="BL402" s="247"/>
      <c r="BM402" s="247"/>
      <c r="BN402" s="422"/>
      <c r="BO402" s="247"/>
      <c r="BP402" s="246"/>
      <c r="BQ402" s="247"/>
      <c r="BR402" s="247"/>
      <c r="BS402" s="247"/>
      <c r="BT402" s="247"/>
      <c r="BU402" s="246"/>
      <c r="BV402" s="247"/>
      <c r="BW402" s="247"/>
      <c r="BX402" s="247"/>
      <c r="BY402" s="247"/>
      <c r="BZ402" s="246"/>
      <c r="CA402" s="247"/>
      <c r="CB402" s="247"/>
      <c r="CC402" s="247"/>
      <c r="CD402" s="247"/>
      <c r="CE402" s="246"/>
      <c r="CF402" s="247"/>
      <c r="CG402" s="247"/>
      <c r="CH402" s="247"/>
      <c r="CI402" s="247"/>
      <c r="CJ402" s="246"/>
      <c r="CK402" s="247"/>
      <c r="CL402" s="247"/>
      <c r="CM402" s="247"/>
      <c r="CN402" s="247"/>
      <c r="CO402" s="246"/>
      <c r="CP402" s="247"/>
      <c r="CQ402" s="247"/>
      <c r="CR402" s="247"/>
      <c r="CS402" s="247"/>
      <c r="CT402" s="246"/>
      <c r="CU402" s="247"/>
      <c r="CV402" s="247"/>
      <c r="CW402" s="247"/>
      <c r="CX402" s="247"/>
      <c r="CY402" s="246"/>
      <c r="CZ402" s="247"/>
      <c r="DA402" s="247"/>
      <c r="DB402" s="247"/>
      <c r="DC402" s="247"/>
      <c r="DD402" s="246"/>
      <c r="DE402" s="247"/>
      <c r="DF402" s="247"/>
      <c r="DG402" s="247"/>
      <c r="DH402" s="247"/>
      <c r="DI402" s="246"/>
      <c r="DJ402" s="247"/>
      <c r="DK402" s="247"/>
      <c r="DL402" s="247"/>
      <c r="DM402" s="247"/>
      <c r="DN402" s="246"/>
      <c r="DO402" s="247"/>
      <c r="DP402" s="247"/>
      <c r="DQ402" s="247"/>
      <c r="DR402" s="247"/>
      <c r="DS402" s="246"/>
    </row>
    <row r="403" hidden="1" outlineLevel="1" spans="2:123">
      <c r="B403" s="245" t="s">
        <v>451</v>
      </c>
      <c r="C403" s="248"/>
      <c r="D403" s="249"/>
      <c r="E403" s="249"/>
      <c r="F403" s="249"/>
      <c r="G403" s="249"/>
      <c r="H403" s="248"/>
      <c r="I403" s="249"/>
      <c r="J403" s="249"/>
      <c r="K403" s="249"/>
      <c r="L403" s="249"/>
      <c r="M403" s="248"/>
      <c r="N403" s="249">
        <f t="shared" ref="N403:AS403" si="1613">N383/N398</f>
        <v>0.873747126436782</v>
      </c>
      <c r="O403" s="249">
        <f t="shared" si="1613"/>
        <v>1.08367346938776</v>
      </c>
      <c r="P403" s="249">
        <f t="shared" si="1613"/>
        <v>1.05087719298246</v>
      </c>
      <c r="Q403" s="249">
        <f t="shared" si="1613"/>
        <v>1.39097744360902</v>
      </c>
      <c r="R403" s="248">
        <f t="shared" si="1613"/>
        <v>4.21658874458874</v>
      </c>
      <c r="S403" s="249">
        <f t="shared" si="1613"/>
        <v>0.973793103448276</v>
      </c>
      <c r="T403" s="249">
        <f t="shared" si="1613"/>
        <v>1.01688311688312</v>
      </c>
      <c r="U403" s="249">
        <f t="shared" si="1613"/>
        <v>0.871910112359551</v>
      </c>
      <c r="V403" s="249">
        <f t="shared" si="1613"/>
        <v>0.886047791044776</v>
      </c>
      <c r="W403" s="248">
        <f t="shared" si="1613"/>
        <v>3.5554682028169</v>
      </c>
      <c r="X403" s="249">
        <f t="shared" si="1613"/>
        <v>0.699330097087379</v>
      </c>
      <c r="Y403" s="249">
        <f t="shared" si="1613"/>
        <v>0.822222222222222</v>
      </c>
      <c r="Z403" s="249">
        <f t="shared" si="1613"/>
        <v>0.934285714285714</v>
      </c>
      <c r="AA403" s="249">
        <f t="shared" si="1613"/>
        <v>1.26301369863014</v>
      </c>
      <c r="AB403" s="248">
        <f t="shared" si="1613"/>
        <v>3.69512676056338</v>
      </c>
      <c r="AC403" s="249">
        <f t="shared" si="1613"/>
        <v>1.01847577092511</v>
      </c>
      <c r="AD403" s="249">
        <f t="shared" si="1613"/>
        <v>1.07833333333333</v>
      </c>
      <c r="AE403" s="249">
        <f t="shared" si="1613"/>
        <v>1.11875</v>
      </c>
      <c r="AF403" s="249">
        <f t="shared" si="1613"/>
        <v>1.54220532319392</v>
      </c>
      <c r="AG403" s="248">
        <f t="shared" si="1613"/>
        <v>4.6997773359841</v>
      </c>
      <c r="AH403" s="249">
        <f t="shared" si="1613"/>
        <v>1.1549815498155</v>
      </c>
      <c r="AI403" s="249">
        <f t="shared" si="1613"/>
        <v>1.25068771929825</v>
      </c>
      <c r="AJ403" s="249">
        <f t="shared" si="1613"/>
        <v>1.21805128205128</v>
      </c>
      <c r="AK403" s="249">
        <f t="shared" si="1613"/>
        <v>1.72548837758112</v>
      </c>
      <c r="AL403" s="248">
        <f t="shared" si="1613"/>
        <v>5.23852102564103</v>
      </c>
      <c r="AM403" s="249">
        <f t="shared" si="1613"/>
        <v>1.29259322033898</v>
      </c>
      <c r="AN403" s="249">
        <f t="shared" si="1613"/>
        <v>1.25373441734417</v>
      </c>
      <c r="AO403" s="249">
        <f t="shared" si="1613"/>
        <v>1.29254358974359</v>
      </c>
      <c r="AP403" s="249">
        <f t="shared" si="1613"/>
        <v>1.83510679611651</v>
      </c>
      <c r="AQ403" s="248">
        <f t="shared" si="1613"/>
        <v>5.58351344430218</v>
      </c>
      <c r="AR403" s="249">
        <f t="shared" si="1613"/>
        <v>1.25574358974359</v>
      </c>
      <c r="AS403" s="249">
        <f t="shared" si="1613"/>
        <v>1.23318918918919</v>
      </c>
      <c r="AT403" s="249">
        <f t="shared" ref="AT403:BY403" si="1614">AT383/AT398</f>
        <v>1.22903171247357</v>
      </c>
      <c r="AU403" s="249">
        <f t="shared" si="1614"/>
        <v>1.57767664670659</v>
      </c>
      <c r="AV403" s="248">
        <f t="shared" si="1614"/>
        <v>5.20211216931217</v>
      </c>
      <c r="AW403" s="249">
        <f t="shared" si="1614"/>
        <v>1.11451063829787</v>
      </c>
      <c r="AX403" s="249">
        <f t="shared" si="1614"/>
        <v>1.10333958724203</v>
      </c>
      <c r="AY403" s="249">
        <f t="shared" si="1614"/>
        <v>1.10917352415027</v>
      </c>
      <c r="AZ403" s="249">
        <f t="shared" si="1614"/>
        <v>1.54338409475465</v>
      </c>
      <c r="BA403" s="248">
        <f t="shared" si="1614"/>
        <v>4.7979537366548</v>
      </c>
      <c r="BB403" s="249">
        <f t="shared" si="1614"/>
        <v>1.0164854368932</v>
      </c>
      <c r="BC403" s="249">
        <f t="shared" si="1614"/>
        <v>1.04226687116564</v>
      </c>
      <c r="BD403" s="249">
        <f t="shared" si="1614"/>
        <v>1.02434492753623</v>
      </c>
      <c r="BE403" s="249">
        <f t="shared" si="1614"/>
        <v>1.4199470013947</v>
      </c>
      <c r="BF403" s="248">
        <f t="shared" si="1614"/>
        <v>4.43045434623813</v>
      </c>
      <c r="BG403" s="249">
        <f t="shared" si="1614"/>
        <v>0.974739130434783</v>
      </c>
      <c r="BH403" s="249">
        <f t="shared" si="1614"/>
        <v>1.01433244680851</v>
      </c>
      <c r="BI403" s="249">
        <f t="shared" si="1614"/>
        <v>1.02475520833333</v>
      </c>
      <c r="BJ403" s="249">
        <f t="shared" si="1614"/>
        <v>1.43586918238994</v>
      </c>
      <c r="BK403" s="248">
        <f t="shared" si="1614"/>
        <v>4.40687007110536</v>
      </c>
      <c r="BL403" s="249">
        <f t="shared" si="1614"/>
        <v>0.928026927784578</v>
      </c>
      <c r="BM403" s="249">
        <f t="shared" si="1614"/>
        <v>0.995057692307692</v>
      </c>
      <c r="BN403" s="249">
        <f t="shared" si="1614"/>
        <v>1.05092707045735</v>
      </c>
      <c r="BO403" s="249">
        <f t="shared" si="1614"/>
        <v>1.56287878787879</v>
      </c>
      <c r="BP403" s="248">
        <f t="shared" si="1614"/>
        <v>4.52473645320197</v>
      </c>
      <c r="BQ403" s="249">
        <f t="shared" si="1614"/>
        <v>1.06287116564417</v>
      </c>
      <c r="BR403" s="249">
        <f t="shared" si="1614"/>
        <v>1.17772397094431</v>
      </c>
      <c r="BS403" s="249">
        <f t="shared" si="1614"/>
        <v>1.13407134363853</v>
      </c>
      <c r="BT403" s="249">
        <f t="shared" si="1614"/>
        <v>1.6858337182448</v>
      </c>
      <c r="BU403" s="248">
        <f t="shared" si="1614"/>
        <v>5.02686288416076</v>
      </c>
      <c r="BV403" s="249">
        <f t="shared" si="1614"/>
        <v>1.13166927374302</v>
      </c>
      <c r="BW403" s="249">
        <f t="shared" si="1614"/>
        <v>1.2759693989071</v>
      </c>
      <c r="BX403" s="249">
        <f t="shared" si="1614"/>
        <v>1.23429179978701</v>
      </c>
      <c r="BY403" s="249">
        <f t="shared" si="1614"/>
        <v>1.71422680412371</v>
      </c>
      <c r="BZ403" s="248">
        <f t="shared" ref="BZ403:CT403" si="1615">BZ383/BZ398</f>
        <v>5.30732732095491</v>
      </c>
      <c r="CA403" s="249">
        <f t="shared" si="1615"/>
        <v>0.530551020408163</v>
      </c>
      <c r="CB403" s="249">
        <f t="shared" si="1615"/>
        <v>0.577286432160804</v>
      </c>
      <c r="CC403" s="249">
        <f t="shared" si="1615"/>
        <v>1.00246033300686</v>
      </c>
      <c r="CD403" s="249">
        <f t="shared" si="1615"/>
        <v>1.15807142857143</v>
      </c>
      <c r="CE403" s="248">
        <f t="shared" si="1615"/>
        <v>3.26697587395372</v>
      </c>
      <c r="CF403" s="249">
        <f t="shared" si="1615"/>
        <v>1.02793869731801</v>
      </c>
      <c r="CG403" s="249">
        <f t="shared" si="1615"/>
        <v>1.31526963103122</v>
      </c>
      <c r="CH403" s="249">
        <f t="shared" si="1615"/>
        <v>1.30232044198895</v>
      </c>
      <c r="CI403" s="249">
        <f t="shared" si="1615"/>
        <v>1.56773179396092</v>
      </c>
      <c r="CJ403" s="248">
        <f t="shared" si="1615"/>
        <v>5.16994411360513</v>
      </c>
      <c r="CK403" s="249">
        <f t="shared" si="1615"/>
        <v>1.26904423243712</v>
      </c>
      <c r="CL403" s="249">
        <f t="shared" si="1615"/>
        <v>1.53193723494487</v>
      </c>
      <c r="CM403" s="249">
        <f t="shared" si="1615"/>
        <v>1.47679476696648</v>
      </c>
      <c r="CN403" s="249">
        <f t="shared" si="1615"/>
        <v>1.73769327073552</v>
      </c>
      <c r="CO403" s="248">
        <f t="shared" si="1615"/>
        <v>5.9391566951567</v>
      </c>
      <c r="CP403" s="249">
        <f t="shared" si="1615"/>
        <v>1.454953682612</v>
      </c>
      <c r="CQ403" s="249">
        <f t="shared" si="1615"/>
        <v>1.64458620689655</v>
      </c>
      <c r="CR403" s="249">
        <f t="shared" si="1615"/>
        <v>1.58169808541973</v>
      </c>
      <c r="CS403" s="249">
        <f t="shared" si="1615"/>
        <v>1.83529992841804</v>
      </c>
      <c r="CT403" s="248">
        <f t="shared" si="1615"/>
        <v>6.46057268399854</v>
      </c>
      <c r="CU403" s="249"/>
      <c r="CV403" s="249"/>
      <c r="CW403" s="249"/>
      <c r="CX403" s="249"/>
      <c r="CY403" s="248"/>
      <c r="CZ403" s="249"/>
      <c r="DA403" s="249"/>
      <c r="DB403" s="249"/>
      <c r="DC403" s="249"/>
      <c r="DD403" s="248"/>
      <c r="DE403" s="249"/>
      <c r="DF403" s="249"/>
      <c r="DG403" s="249"/>
      <c r="DH403" s="249"/>
      <c r="DI403" s="248"/>
      <c r="DJ403" s="249"/>
      <c r="DK403" s="249"/>
      <c r="DL403" s="249"/>
      <c r="DM403" s="249"/>
      <c r="DN403" s="248"/>
      <c r="DO403" s="249"/>
      <c r="DP403" s="249"/>
      <c r="DQ403" s="249"/>
      <c r="DR403" s="249"/>
      <c r="DS403" s="248"/>
    </row>
    <row r="404" hidden="1" outlineLevel="1" spans="2:123">
      <c r="B404" s="245" t="s">
        <v>452</v>
      </c>
      <c r="C404" s="248"/>
      <c r="D404" s="249"/>
      <c r="E404" s="249"/>
      <c r="F404" s="249"/>
      <c r="G404" s="249"/>
      <c r="H404" s="248"/>
      <c r="I404" s="249"/>
      <c r="J404" s="249"/>
      <c r="K404" s="249"/>
      <c r="L404" s="249"/>
      <c r="M404" s="248"/>
      <c r="N404" s="249"/>
      <c r="O404" s="249"/>
      <c r="P404" s="249"/>
      <c r="Q404" s="249"/>
      <c r="R404" s="248"/>
      <c r="S404" s="249"/>
      <c r="T404" s="249"/>
      <c r="U404" s="249"/>
      <c r="V404" s="249"/>
      <c r="W404" s="248">
        <f t="shared" ref="W404:CH404" si="1616">W383/W448</f>
        <v>1286.53240510458</v>
      </c>
      <c r="X404" s="249">
        <f t="shared" si="1616"/>
        <v>262.867673892417</v>
      </c>
      <c r="Y404" s="249">
        <f t="shared" si="1616"/>
        <v>308.982644688113</v>
      </c>
      <c r="Z404" s="249">
        <f t="shared" si="1616"/>
        <v>350.833273728632</v>
      </c>
      <c r="AA404" s="249">
        <f t="shared" si="1616"/>
        <v>462.217171885966</v>
      </c>
      <c r="AB404" s="248">
        <f t="shared" si="1616"/>
        <v>1369.68484068009</v>
      </c>
      <c r="AC404" s="249">
        <f t="shared" si="1616"/>
        <v>360.677067082683</v>
      </c>
      <c r="AD404" s="249">
        <f t="shared" si="1616"/>
        <v>383.407407407407</v>
      </c>
      <c r="AE404" s="249">
        <f t="shared" si="1616"/>
        <v>401.120448179272</v>
      </c>
      <c r="AF404" s="249">
        <f t="shared" si="1616"/>
        <v>549.593495934959</v>
      </c>
      <c r="AG404" s="248">
        <f t="shared" si="1616"/>
        <v>1673.02760084926</v>
      </c>
      <c r="AH404" s="249">
        <f t="shared" si="1616"/>
        <v>411.842105263158</v>
      </c>
      <c r="AI404" s="249">
        <f t="shared" si="1616"/>
        <v>444.4463840399</v>
      </c>
      <c r="AJ404" s="249">
        <f t="shared" si="1616"/>
        <v>428.930022573363</v>
      </c>
      <c r="AK404" s="249">
        <f t="shared" si="1616"/>
        <v>606.784813278008</v>
      </c>
      <c r="AL404" s="248">
        <f t="shared" si="1616"/>
        <v>1850.98364665912</v>
      </c>
      <c r="AM404" s="249">
        <f t="shared" si="1616"/>
        <v>456.664670658683</v>
      </c>
      <c r="AN404" s="249">
        <f t="shared" si="1616"/>
        <v>442.282982791587</v>
      </c>
      <c r="AO404" s="249">
        <f t="shared" si="1616"/>
        <v>453.728172817282</v>
      </c>
      <c r="AP404" s="249">
        <f t="shared" si="1616"/>
        <v>643.458723404256</v>
      </c>
      <c r="AQ404" s="248">
        <f t="shared" si="1616"/>
        <v>1963.40567312022</v>
      </c>
      <c r="AR404" s="249">
        <f t="shared" si="1616"/>
        <v>438.33523189585</v>
      </c>
      <c r="AS404" s="249">
        <f t="shared" si="1616"/>
        <v>427.428571428571</v>
      </c>
      <c r="AT404" s="249">
        <f t="shared" si="1616"/>
        <v>423.711370262391</v>
      </c>
      <c r="AU404" s="249">
        <f t="shared" si="1616"/>
        <v>542.123456790124</v>
      </c>
      <c r="AV404" s="248">
        <f t="shared" si="1616"/>
        <v>1794.81416575392</v>
      </c>
      <c r="AW404" s="249">
        <f t="shared" si="1616"/>
        <v>383.113031914894</v>
      </c>
      <c r="AX404" s="249">
        <f t="shared" si="1616"/>
        <v>379.161831076725</v>
      </c>
      <c r="AY404" s="249">
        <f t="shared" si="1616"/>
        <v>379.222018348624</v>
      </c>
      <c r="AZ404" s="249">
        <f t="shared" si="1616"/>
        <v>525.426267281106</v>
      </c>
      <c r="BA404" s="248">
        <f t="shared" si="1616"/>
        <v>1640.67538789169</v>
      </c>
      <c r="BB404" s="249">
        <f t="shared" si="1616"/>
        <v>345.347993402969</v>
      </c>
      <c r="BC404" s="249">
        <f t="shared" si="1616"/>
        <v>354.675365344468</v>
      </c>
      <c r="BD404" s="249">
        <f t="shared" si="1616"/>
        <v>349.726867887185</v>
      </c>
      <c r="BE404" s="249">
        <f t="shared" si="1616"/>
        <v>483.199810156621</v>
      </c>
      <c r="BF404" s="248">
        <f t="shared" si="1616"/>
        <v>1507.65398956003</v>
      </c>
      <c r="BG404" s="249">
        <f t="shared" si="1616"/>
        <v>331.213296398892</v>
      </c>
      <c r="BH404" s="249">
        <f t="shared" si="1616"/>
        <v>344.836347197107</v>
      </c>
      <c r="BI404" s="249">
        <f t="shared" si="1616"/>
        <v>348.081379920389</v>
      </c>
      <c r="BJ404" s="249">
        <f t="shared" si="1616"/>
        <v>489.081405312768</v>
      </c>
      <c r="BK404" s="248">
        <f t="shared" si="1616"/>
        <v>1499.65420149582</v>
      </c>
      <c r="BL404" s="249">
        <f t="shared" si="1616"/>
        <v>316.707602339181</v>
      </c>
      <c r="BM404" s="249">
        <f t="shared" si="1616"/>
        <v>339.020475020475</v>
      </c>
      <c r="BN404" s="249">
        <f t="shared" si="1616"/>
        <v>349.876543209877</v>
      </c>
      <c r="BO404" s="249">
        <f t="shared" si="1616"/>
        <v>519.211409395973</v>
      </c>
      <c r="BP404" s="248">
        <f t="shared" si="1616"/>
        <v>1522.62163282221</v>
      </c>
      <c r="BQ404" s="249">
        <f t="shared" si="1616"/>
        <v>350.846496557311</v>
      </c>
      <c r="BR404" s="249">
        <f t="shared" si="1616"/>
        <v>377.054263565891</v>
      </c>
      <c r="BS404" s="249">
        <f t="shared" si="1616"/>
        <v>358.958976289048</v>
      </c>
      <c r="BT404" s="249">
        <f t="shared" si="1616"/>
        <v>525.155395683453</v>
      </c>
      <c r="BU404" s="248">
        <f t="shared" si="1616"/>
        <v>1586.83805970149</v>
      </c>
      <c r="BV404" s="249">
        <f t="shared" si="1616"/>
        <v>350.222683264177</v>
      </c>
      <c r="BW404" s="249">
        <f t="shared" si="1616"/>
        <v>390.73360107095</v>
      </c>
      <c r="BX404" s="249">
        <f t="shared" si="1616"/>
        <v>370.761356365963</v>
      </c>
      <c r="BY404" s="249">
        <f t="shared" si="1616"/>
        <v>506.333739342266</v>
      </c>
      <c r="BZ404" s="248">
        <f t="shared" si="1616"/>
        <v>1595.07525510204</v>
      </c>
      <c r="CA404" s="249">
        <f t="shared" si="1616"/>
        <v>154.193357058126</v>
      </c>
      <c r="CB404" s="249">
        <f t="shared" si="1616"/>
        <v>166.541026384459</v>
      </c>
      <c r="CC404" s="249">
        <f t="shared" si="1616"/>
        <v>287.100140252454</v>
      </c>
      <c r="CD404" s="249">
        <f t="shared" si="1616"/>
        <v>327.267321331151</v>
      </c>
      <c r="CE404" s="248">
        <f t="shared" si="1616"/>
        <v>932.56893886156</v>
      </c>
      <c r="CF404" s="249">
        <f t="shared" si="1616"/>
        <v>288.486021505376</v>
      </c>
      <c r="CG404" s="249">
        <f t="shared" si="1616"/>
        <v>369.057605521635</v>
      </c>
      <c r="CH404" s="249">
        <f t="shared" si="1616"/>
        <v>361.996416687996</v>
      </c>
      <c r="CI404" s="249">
        <f t="shared" ref="CI404:CT404" si="1617">CI383/CI448</f>
        <v>427.735885631209</v>
      </c>
      <c r="CJ404" s="248">
        <f t="shared" si="1617"/>
        <v>1429.69191791234</v>
      </c>
      <c r="CK404" s="249">
        <f t="shared" si="1617"/>
        <v>341.871028037383</v>
      </c>
      <c r="CL404" s="249">
        <f t="shared" si="1617"/>
        <v>409.280308180376</v>
      </c>
      <c r="CM404" s="249">
        <f t="shared" si="1617"/>
        <v>388.580034423408</v>
      </c>
      <c r="CN404" s="249">
        <f t="shared" si="1617"/>
        <v>447.285397784491</v>
      </c>
      <c r="CO404" s="248">
        <f t="shared" si="1617"/>
        <v>1556.03625506505</v>
      </c>
      <c r="CP404" s="249">
        <f t="shared" si="1617"/>
        <v>367.999615901671</v>
      </c>
      <c r="CQ404" s="249">
        <f t="shared" si="1617"/>
        <v>412.150666917152</v>
      </c>
      <c r="CR404" s="249">
        <f t="shared" si="1617"/>
        <v>391.389577259475</v>
      </c>
      <c r="CS404" s="249">
        <f t="shared" si="1617"/>
        <v>444.815058986815</v>
      </c>
      <c r="CT404" s="248">
        <f t="shared" si="1617"/>
        <v>1591.39749255885</v>
      </c>
      <c r="CU404" s="249"/>
      <c r="CV404" s="249"/>
      <c r="CW404" s="249"/>
      <c r="CX404" s="249"/>
      <c r="CY404" s="248"/>
      <c r="CZ404" s="249"/>
      <c r="DA404" s="249"/>
      <c r="DB404" s="249"/>
      <c r="DC404" s="249"/>
      <c r="DD404" s="248"/>
      <c r="DE404" s="249"/>
      <c r="DF404" s="249"/>
      <c r="DG404" s="249"/>
      <c r="DH404" s="249"/>
      <c r="DI404" s="248"/>
      <c r="DJ404" s="249"/>
      <c r="DK404" s="249"/>
      <c r="DL404" s="249"/>
      <c r="DM404" s="249"/>
      <c r="DN404" s="248"/>
      <c r="DO404" s="249"/>
      <c r="DP404" s="249"/>
      <c r="DQ404" s="249"/>
      <c r="DR404" s="249"/>
      <c r="DS404" s="248"/>
    </row>
    <row r="405" hidden="1" outlineLevel="1" spans="2:123">
      <c r="B405" s="245"/>
      <c r="C405" s="246"/>
      <c r="D405" s="247"/>
      <c r="E405" s="247"/>
      <c r="F405" s="247"/>
      <c r="G405" s="247"/>
      <c r="H405" s="246"/>
      <c r="I405" s="247"/>
      <c r="J405" s="247"/>
      <c r="K405" s="247"/>
      <c r="L405" s="247"/>
      <c r="M405" s="246"/>
      <c r="N405" s="247"/>
      <c r="O405" s="247"/>
      <c r="P405" s="247"/>
      <c r="Q405" s="247"/>
      <c r="R405" s="246"/>
      <c r="S405" s="247"/>
      <c r="T405" s="247"/>
      <c r="U405" s="247"/>
      <c r="V405" s="247"/>
      <c r="W405" s="246"/>
      <c r="X405" s="247"/>
      <c r="Y405" s="247"/>
      <c r="Z405" s="247"/>
      <c r="AA405" s="247"/>
      <c r="AB405" s="246"/>
      <c r="AC405" s="247"/>
      <c r="AD405" s="247"/>
      <c r="AE405" s="247"/>
      <c r="AF405" s="247"/>
      <c r="AG405" s="246"/>
      <c r="AH405" s="247"/>
      <c r="AI405" s="247"/>
      <c r="AJ405" s="247"/>
      <c r="AK405" s="247"/>
      <c r="AL405" s="246"/>
      <c r="AM405" s="247"/>
      <c r="AN405" s="247"/>
      <c r="AO405" s="247"/>
      <c r="AP405" s="247"/>
      <c r="AQ405" s="246"/>
      <c r="AR405" s="247"/>
      <c r="AS405" s="247"/>
      <c r="AT405" s="247"/>
      <c r="AU405" s="247"/>
      <c r="AV405" s="246"/>
      <c r="AW405" s="247"/>
      <c r="AX405" s="247"/>
      <c r="AY405" s="247"/>
      <c r="AZ405" s="247"/>
      <c r="BA405" s="246"/>
      <c r="BB405" s="247"/>
      <c r="BC405" s="247"/>
      <c r="BD405" s="247"/>
      <c r="BE405" s="247"/>
      <c r="BF405" s="246"/>
      <c r="BG405" s="247"/>
      <c r="BH405" s="247"/>
      <c r="BI405" s="247"/>
      <c r="BJ405" s="247"/>
      <c r="BK405" s="246"/>
      <c r="BL405" s="247"/>
      <c r="BM405" s="247"/>
      <c r="BN405" s="247"/>
      <c r="BO405" s="247"/>
      <c r="BP405" s="246"/>
      <c r="BQ405" s="247"/>
      <c r="BR405" s="247"/>
      <c r="BS405" s="247"/>
      <c r="BT405" s="247"/>
      <c r="BU405" s="246"/>
      <c r="BV405" s="247"/>
      <c r="BW405" s="247"/>
      <c r="BX405" s="247"/>
      <c r="BY405" s="247"/>
      <c r="BZ405" s="246"/>
      <c r="CA405" s="247"/>
      <c r="CB405" s="247"/>
      <c r="CC405" s="247"/>
      <c r="CD405" s="247"/>
      <c r="CE405" s="246"/>
      <c r="CF405" s="247"/>
      <c r="CG405" s="247"/>
      <c r="CH405" s="247"/>
      <c r="CI405" s="247"/>
      <c r="CJ405" s="423"/>
      <c r="CK405" s="247"/>
      <c r="CL405" s="247"/>
      <c r="CM405" s="247"/>
      <c r="CN405" s="247"/>
      <c r="CO405" s="246"/>
      <c r="CP405" s="247"/>
      <c r="CQ405" s="247"/>
      <c r="CR405" s="247"/>
      <c r="CS405" s="247"/>
      <c r="CT405" s="246"/>
      <c r="CU405" s="247"/>
      <c r="CV405" s="247"/>
      <c r="CW405" s="247"/>
      <c r="CX405" s="247"/>
      <c r="CY405" s="246"/>
      <c r="CZ405" s="247"/>
      <c r="DA405" s="247"/>
      <c r="DB405" s="247"/>
      <c r="DC405" s="247"/>
      <c r="DD405" s="246"/>
      <c r="DE405" s="247"/>
      <c r="DF405" s="247"/>
      <c r="DG405" s="247"/>
      <c r="DH405" s="247"/>
      <c r="DI405" s="246"/>
      <c r="DJ405" s="247"/>
      <c r="DK405" s="247"/>
      <c r="DL405" s="247"/>
      <c r="DM405" s="247"/>
      <c r="DN405" s="246"/>
      <c r="DO405" s="247"/>
      <c r="DP405" s="247"/>
      <c r="DQ405" s="247"/>
      <c r="DR405" s="247"/>
      <c r="DS405" s="246"/>
    </row>
    <row r="406" hidden="1" outlineLevel="1" spans="2:123">
      <c r="B406" s="424" t="s">
        <v>453</v>
      </c>
      <c r="C406" s="246"/>
      <c r="D406" s="247"/>
      <c r="E406" s="247"/>
      <c r="F406" s="247"/>
      <c r="G406" s="247"/>
      <c r="H406" s="246"/>
      <c r="I406" s="247"/>
      <c r="J406" s="247"/>
      <c r="K406" s="247"/>
      <c r="L406" s="247"/>
      <c r="M406" s="246"/>
      <c r="N406" s="247"/>
      <c r="O406" s="247"/>
      <c r="P406" s="247"/>
      <c r="Q406" s="247"/>
      <c r="R406" s="246"/>
      <c r="S406" s="247"/>
      <c r="T406" s="247"/>
      <c r="U406" s="247"/>
      <c r="V406" s="247"/>
      <c r="W406" s="246"/>
      <c r="X406" s="247"/>
      <c r="Y406" s="247"/>
      <c r="Z406" s="247"/>
      <c r="AA406" s="247"/>
      <c r="AB406" s="246"/>
      <c r="AC406" s="247"/>
      <c r="AD406" s="247"/>
      <c r="AE406" s="247"/>
      <c r="AF406" s="247"/>
      <c r="AG406" s="246"/>
      <c r="AH406" s="247"/>
      <c r="AI406" s="247"/>
      <c r="AJ406" s="247"/>
      <c r="AK406" s="247"/>
      <c r="AL406" s="246"/>
      <c r="AM406" s="247"/>
      <c r="AN406" s="247"/>
      <c r="AO406" s="247"/>
      <c r="AP406" s="247"/>
      <c r="AQ406" s="246"/>
      <c r="AR406" s="247"/>
      <c r="AS406" s="247"/>
      <c r="AT406" s="247"/>
      <c r="AU406" s="247"/>
      <c r="AV406" s="246"/>
      <c r="AW406" s="247"/>
      <c r="AX406" s="247"/>
      <c r="AY406" s="247"/>
      <c r="AZ406" s="247"/>
      <c r="BA406" s="246"/>
      <c r="BB406" s="247"/>
      <c r="BC406" s="247"/>
      <c r="BD406" s="247"/>
      <c r="BE406" s="247"/>
      <c r="BF406" s="246"/>
      <c r="BG406" s="247"/>
      <c r="BH406" s="247"/>
      <c r="BI406" s="247"/>
      <c r="BJ406" s="247"/>
      <c r="BK406" s="246"/>
      <c r="BL406" s="247"/>
      <c r="BM406" s="247"/>
      <c r="BN406" s="247"/>
      <c r="BO406" s="247"/>
      <c r="BP406" s="246"/>
      <c r="BQ406" s="247"/>
      <c r="BR406" s="247"/>
      <c r="BS406" s="247"/>
      <c r="BT406" s="247"/>
      <c r="BU406" s="246"/>
      <c r="BV406" s="247"/>
      <c r="BW406" s="247"/>
      <c r="BX406" s="247"/>
      <c r="BY406" s="247"/>
      <c r="BZ406" s="246"/>
      <c r="CA406" s="247"/>
      <c r="CB406" s="247"/>
      <c r="CC406" s="247"/>
      <c r="CD406" s="247"/>
      <c r="CE406" s="246"/>
      <c r="CF406" s="247"/>
      <c r="CG406" s="247"/>
      <c r="CH406" s="247"/>
      <c r="CI406" s="247"/>
      <c r="CJ406" s="246"/>
      <c r="CK406" s="247"/>
      <c r="CL406" s="247"/>
      <c r="CM406" s="247"/>
      <c r="CN406" s="247"/>
      <c r="CO406" s="246"/>
      <c r="CP406" s="247"/>
      <c r="CQ406" s="247"/>
      <c r="CR406" s="247"/>
      <c r="CS406" s="247"/>
      <c r="CT406" s="246"/>
      <c r="CU406" s="247"/>
      <c r="CV406" s="247"/>
      <c r="CW406" s="247"/>
      <c r="CX406" s="247"/>
      <c r="CY406" s="246"/>
      <c r="CZ406" s="247"/>
      <c r="DA406" s="247"/>
      <c r="DB406" s="247"/>
      <c r="DC406" s="247"/>
      <c r="DD406" s="246"/>
      <c r="DE406" s="247"/>
      <c r="DF406" s="247"/>
      <c r="DG406" s="247"/>
      <c r="DH406" s="247"/>
      <c r="DI406" s="246"/>
      <c r="DJ406" s="247"/>
      <c r="DK406" s="247"/>
      <c r="DL406" s="247"/>
      <c r="DM406" s="247"/>
      <c r="DN406" s="246"/>
      <c r="DO406" s="247"/>
      <c r="DP406" s="247"/>
      <c r="DQ406" s="247"/>
      <c r="DR406" s="247"/>
      <c r="DS406" s="246"/>
    </row>
    <row r="407" hidden="1" outlineLevel="1" spans="2:123">
      <c r="B407" s="245" t="s">
        <v>454</v>
      </c>
      <c r="C407" s="246"/>
      <c r="D407" s="247"/>
      <c r="E407" s="247"/>
      <c r="F407" s="247"/>
      <c r="G407" s="247"/>
      <c r="H407" s="246"/>
      <c r="I407" s="247"/>
      <c r="J407" s="247"/>
      <c r="K407" s="247"/>
      <c r="L407" s="247"/>
      <c r="M407" s="246"/>
      <c r="N407" s="247"/>
      <c r="O407" s="247"/>
      <c r="P407" s="247"/>
      <c r="Q407" s="247"/>
      <c r="R407" s="246"/>
      <c r="S407" s="247"/>
      <c r="T407" s="247"/>
      <c r="U407" s="247"/>
      <c r="V407" s="247"/>
      <c r="W407" s="246"/>
      <c r="X407" s="247"/>
      <c r="Y407" s="247"/>
      <c r="Z407" s="247"/>
      <c r="AA407" s="247"/>
      <c r="AB407" s="246"/>
      <c r="AC407" s="247"/>
      <c r="AD407" s="247"/>
      <c r="AE407" s="247"/>
      <c r="AF407" s="247"/>
      <c r="AG407" s="246"/>
      <c r="AH407" s="247"/>
      <c r="AI407" s="247"/>
      <c r="AJ407" s="247"/>
      <c r="AK407" s="247"/>
      <c r="AL407" s="246"/>
      <c r="AM407" s="247"/>
      <c r="AN407" s="247"/>
      <c r="AO407" s="247"/>
      <c r="AP407" s="247"/>
      <c r="AQ407" s="246"/>
      <c r="AR407" s="247"/>
      <c r="AS407" s="247"/>
      <c r="AT407" s="247"/>
      <c r="AU407" s="247"/>
      <c r="AV407" s="246"/>
      <c r="AW407" s="247"/>
      <c r="AX407" s="247"/>
      <c r="AY407" s="247"/>
      <c r="AZ407" s="247"/>
      <c r="BA407" s="246"/>
      <c r="BB407" s="247"/>
      <c r="BC407" s="247"/>
      <c r="BD407" s="247"/>
      <c r="BE407" s="247"/>
      <c r="BF407" s="246"/>
      <c r="BG407" s="247"/>
      <c r="BH407" s="247"/>
      <c r="BI407" s="247"/>
      <c r="BJ407" s="247"/>
      <c r="BK407" s="246"/>
      <c r="BL407" s="247"/>
      <c r="BM407" s="247"/>
      <c r="BN407" s="247"/>
      <c r="BO407" s="247"/>
      <c r="BP407" s="246"/>
      <c r="BQ407" s="247"/>
      <c r="BR407" s="247"/>
      <c r="BS407" s="401"/>
      <c r="BT407" s="247"/>
      <c r="BU407" s="246"/>
      <c r="BV407" s="247"/>
      <c r="BW407" s="247"/>
      <c r="BX407" s="247"/>
      <c r="BY407" s="247"/>
      <c r="BZ407" s="246"/>
      <c r="CA407" s="247"/>
      <c r="CB407" s="247"/>
      <c r="CC407" s="247"/>
      <c r="CD407" s="247"/>
      <c r="CE407" s="246"/>
      <c r="CF407" s="247"/>
      <c r="CG407" s="247"/>
      <c r="CH407" s="247"/>
      <c r="CI407" s="247"/>
      <c r="CJ407" s="246"/>
      <c r="CK407" s="247"/>
      <c r="CL407" s="247"/>
      <c r="CM407" s="247"/>
      <c r="CN407" s="247"/>
      <c r="CO407" s="246"/>
      <c r="CP407" s="247"/>
      <c r="CQ407" s="247"/>
      <c r="CR407" s="247"/>
      <c r="CS407" s="247"/>
      <c r="CT407" s="246"/>
      <c r="CU407" s="247"/>
      <c r="CV407" s="247"/>
      <c r="CW407" s="247"/>
      <c r="CX407" s="247"/>
      <c r="CY407" s="246"/>
      <c r="CZ407" s="247"/>
      <c r="DA407" s="247"/>
      <c r="DB407" s="247"/>
      <c r="DC407" s="247"/>
      <c r="DD407" s="246"/>
      <c r="DE407" s="247"/>
      <c r="DF407" s="247"/>
      <c r="DG407" s="247"/>
      <c r="DH407" s="247"/>
      <c r="DI407" s="246"/>
      <c r="DJ407" s="247"/>
      <c r="DK407" s="247"/>
      <c r="DL407" s="247"/>
      <c r="DM407" s="247"/>
      <c r="DN407" s="246"/>
      <c r="DO407" s="247"/>
      <c r="DP407" s="247"/>
      <c r="DQ407" s="247"/>
      <c r="DR407" s="247"/>
      <c r="DS407" s="246"/>
    </row>
    <row r="408" s="3" customFormat="1" hidden="1" outlineLevel="1" spans="2:123">
      <c r="B408" s="425" t="s">
        <v>455</v>
      </c>
      <c r="C408" s="426"/>
      <c r="D408" s="427"/>
      <c r="E408" s="427"/>
      <c r="F408" s="427"/>
      <c r="G408" s="427"/>
      <c r="H408" s="426"/>
      <c r="I408" s="427"/>
      <c r="J408" s="427"/>
      <c r="K408" s="427"/>
      <c r="L408" s="427"/>
      <c r="M408" s="426"/>
      <c r="N408" s="427"/>
      <c r="O408" s="427"/>
      <c r="P408" s="427"/>
      <c r="Q408" s="428">
        <f t="shared" ref="Q408:CB408" si="1618">SUM(Q185:Q186)</f>
        <v>67</v>
      </c>
      <c r="R408" s="429">
        <f t="shared" si="1618"/>
        <v>67</v>
      </c>
      <c r="S408" s="428">
        <f t="shared" si="1618"/>
        <v>70</v>
      </c>
      <c r="T408" s="428">
        <f t="shared" si="1618"/>
        <v>79</v>
      </c>
      <c r="U408" s="428">
        <f t="shared" si="1618"/>
        <v>98</v>
      </c>
      <c r="V408" s="428">
        <f t="shared" si="1618"/>
        <v>103</v>
      </c>
      <c r="W408" s="429">
        <f t="shared" si="1618"/>
        <v>103</v>
      </c>
      <c r="X408" s="428">
        <f t="shared" si="1618"/>
        <v>103</v>
      </c>
      <c r="Y408" s="428">
        <f t="shared" si="1618"/>
        <v>104</v>
      </c>
      <c r="Z408" s="428">
        <f t="shared" si="1618"/>
        <v>106</v>
      </c>
      <c r="AA408" s="428">
        <f t="shared" si="1618"/>
        <v>110</v>
      </c>
      <c r="AB408" s="429">
        <f t="shared" si="1618"/>
        <v>110</v>
      </c>
      <c r="AC408" s="428">
        <f t="shared" si="1618"/>
        <v>111</v>
      </c>
      <c r="AD408" s="428">
        <f t="shared" si="1618"/>
        <v>113</v>
      </c>
      <c r="AE408" s="428">
        <f t="shared" si="1618"/>
        <v>116</v>
      </c>
      <c r="AF408" s="428">
        <f t="shared" si="1618"/>
        <v>120</v>
      </c>
      <c r="AG408" s="429">
        <f t="shared" si="1618"/>
        <v>120</v>
      </c>
      <c r="AH408" s="428">
        <f t="shared" si="1618"/>
        <v>123</v>
      </c>
      <c r="AI408" s="428">
        <f t="shared" si="1618"/>
        <v>131</v>
      </c>
      <c r="AJ408" s="430">
        <f t="shared" si="1618"/>
        <v>148</v>
      </c>
      <c r="AK408" s="430">
        <f t="shared" si="1618"/>
        <v>150</v>
      </c>
      <c r="AL408" s="429">
        <f t="shared" si="1618"/>
        <v>150</v>
      </c>
      <c r="AM408" s="430">
        <f t="shared" si="1618"/>
        <v>154</v>
      </c>
      <c r="AN408" s="430">
        <f t="shared" si="1618"/>
        <v>161</v>
      </c>
      <c r="AO408" s="430">
        <f t="shared" si="1618"/>
        <v>170</v>
      </c>
      <c r="AP408" s="430">
        <f t="shared" si="1618"/>
        <v>178</v>
      </c>
      <c r="AQ408" s="429">
        <f t="shared" si="1618"/>
        <v>178</v>
      </c>
      <c r="AR408" s="430">
        <f t="shared" si="1618"/>
        <v>184</v>
      </c>
      <c r="AS408" s="430">
        <f t="shared" si="1618"/>
        <v>191</v>
      </c>
      <c r="AT408" s="430">
        <f t="shared" si="1618"/>
        <v>208</v>
      </c>
      <c r="AU408" s="430">
        <f t="shared" si="1618"/>
        <v>213</v>
      </c>
      <c r="AV408" s="429">
        <f t="shared" si="1618"/>
        <v>213</v>
      </c>
      <c r="AW408" s="430">
        <f t="shared" si="1618"/>
        <v>216</v>
      </c>
      <c r="AX408" s="430">
        <f t="shared" si="1618"/>
        <v>221</v>
      </c>
      <c r="AY408" s="430">
        <f t="shared" si="1618"/>
        <v>237</v>
      </c>
      <c r="AZ408" s="430">
        <f t="shared" si="1618"/>
        <v>246</v>
      </c>
      <c r="BA408" s="429">
        <f t="shared" si="1618"/>
        <v>246</v>
      </c>
      <c r="BB408" s="430">
        <f t="shared" si="1618"/>
        <v>253</v>
      </c>
      <c r="BC408" s="430">
        <f t="shared" si="1618"/>
        <v>263</v>
      </c>
      <c r="BD408" s="430">
        <f t="shared" si="1618"/>
        <v>271</v>
      </c>
      <c r="BE408" s="430">
        <f t="shared" si="1618"/>
        <v>277</v>
      </c>
      <c r="BF408" s="429">
        <f t="shared" si="1618"/>
        <v>277</v>
      </c>
      <c r="BG408" s="430">
        <f t="shared" si="1618"/>
        <v>279</v>
      </c>
      <c r="BH408" s="430">
        <f t="shared" si="1618"/>
        <v>280</v>
      </c>
      <c r="BI408" s="430">
        <f t="shared" si="1618"/>
        <v>287</v>
      </c>
      <c r="BJ408" s="430">
        <f t="shared" si="1618"/>
        <v>296</v>
      </c>
      <c r="BK408" s="429">
        <f t="shared" si="1618"/>
        <v>296</v>
      </c>
      <c r="BL408" s="430">
        <f t="shared" si="1618"/>
        <v>298</v>
      </c>
      <c r="BM408" s="430">
        <f t="shared" si="1618"/>
        <v>305</v>
      </c>
      <c r="BN408" s="430">
        <f t="shared" si="1618"/>
        <v>317</v>
      </c>
      <c r="BO408" s="428">
        <f t="shared" si="1618"/>
        <v>326</v>
      </c>
      <c r="BP408" s="429">
        <f t="shared" si="1618"/>
        <v>326</v>
      </c>
      <c r="BQ408" s="428">
        <f t="shared" si="1618"/>
        <v>326</v>
      </c>
      <c r="BR408" s="428">
        <f t="shared" si="1618"/>
        <v>327</v>
      </c>
      <c r="BS408" s="428">
        <f t="shared" si="1618"/>
        <v>335</v>
      </c>
      <c r="BT408" s="428">
        <f t="shared" si="1618"/>
        <v>341</v>
      </c>
      <c r="BU408" s="429">
        <f t="shared" si="1618"/>
        <v>341</v>
      </c>
      <c r="BV408" s="428">
        <f t="shared" si="1618"/>
        <v>347</v>
      </c>
      <c r="BW408" s="428">
        <f t="shared" si="1618"/>
        <v>348</v>
      </c>
      <c r="BX408" s="428">
        <f t="shared" si="1618"/>
        <v>358</v>
      </c>
      <c r="BY408" s="428">
        <f t="shared" si="1618"/>
        <v>364</v>
      </c>
      <c r="BZ408" s="429">
        <f t="shared" si="1618"/>
        <v>364</v>
      </c>
      <c r="CA408" s="428">
        <f t="shared" si="1618"/>
        <v>362</v>
      </c>
      <c r="CB408" s="428">
        <f t="shared" si="1618"/>
        <v>370</v>
      </c>
      <c r="CC408" s="428">
        <f>SUM(CC185:CC186)</f>
        <v>375</v>
      </c>
      <c r="CD408" s="428">
        <f>SUM(CD185:CD186)</f>
        <v>377</v>
      </c>
      <c r="CE408" s="429">
        <f>SUM(CE185:CE186)</f>
        <v>377</v>
      </c>
      <c r="CF408" s="427">
        <f>CF185+CF186</f>
        <v>377</v>
      </c>
      <c r="CG408" s="427">
        <f>CG185+CG186</f>
        <v>380</v>
      </c>
      <c r="CH408" s="427">
        <f>CH185+CH186</f>
        <v>384</v>
      </c>
      <c r="CI408" s="427">
        <f>CI185+CI186</f>
        <v>387</v>
      </c>
      <c r="CJ408" s="429">
        <f>SUM(CJ185:CJ186)</f>
        <v>387</v>
      </c>
      <c r="CK408" s="427">
        <f>CK185+CK186</f>
        <v>389</v>
      </c>
      <c r="CL408" s="427">
        <f>CL185+CL186</f>
        <v>396</v>
      </c>
      <c r="CM408" s="427">
        <f>CM185+CM186</f>
        <v>403</v>
      </c>
      <c r="CN408" s="427">
        <f>CN185+CN186</f>
        <v>419</v>
      </c>
      <c r="CO408" s="426">
        <f>SUM(CO185:CO186)</f>
        <v>419</v>
      </c>
      <c r="CP408" s="427">
        <f>CP185+CP186</f>
        <v>426</v>
      </c>
      <c r="CQ408" s="427">
        <f>CQ185+CQ186</f>
        <v>426</v>
      </c>
      <c r="CR408" s="427">
        <f>CR185+CR186</f>
        <v>431</v>
      </c>
      <c r="CS408" s="427">
        <f>CS185+CS186</f>
        <v>438</v>
      </c>
      <c r="CT408" s="426">
        <f>SUM(CT185:CT186)</f>
        <v>438</v>
      </c>
      <c r="CU408" s="427"/>
      <c r="CV408" s="427"/>
      <c r="CW408" s="427"/>
      <c r="CX408" s="427"/>
      <c r="CY408" s="426"/>
      <c r="CZ408" s="427"/>
      <c r="DA408" s="427"/>
      <c r="DB408" s="427"/>
      <c r="DC408" s="427"/>
      <c r="DD408" s="426"/>
      <c r="DE408" s="427"/>
      <c r="DF408" s="427"/>
      <c r="DG408" s="427"/>
      <c r="DH408" s="427"/>
      <c r="DI408" s="426"/>
      <c r="DJ408" s="427"/>
      <c r="DK408" s="427"/>
      <c r="DL408" s="427"/>
      <c r="DM408" s="427"/>
      <c r="DN408" s="426"/>
      <c r="DO408" s="427"/>
      <c r="DP408" s="427"/>
      <c r="DQ408" s="427"/>
      <c r="DR408" s="427"/>
      <c r="DS408" s="426"/>
    </row>
    <row r="409" hidden="1" outlineLevel="1" spans="2:123">
      <c r="B409" s="431" t="s">
        <v>456</v>
      </c>
      <c r="C409" s="252"/>
      <c r="D409" s="253"/>
      <c r="E409" s="253"/>
      <c r="F409" s="253"/>
      <c r="G409" s="253"/>
      <c r="H409" s="252"/>
      <c r="I409" s="253"/>
      <c r="J409" s="253"/>
      <c r="K409" s="253"/>
      <c r="L409" s="253"/>
      <c r="M409" s="252"/>
      <c r="N409" s="253"/>
      <c r="O409" s="253"/>
      <c r="P409" s="253"/>
      <c r="Q409" s="253"/>
      <c r="R409" s="252"/>
      <c r="S409" s="253"/>
      <c r="T409" s="253"/>
      <c r="U409" s="253"/>
      <c r="V409" s="151">
        <f t="shared" ref="V409:CG409" si="1619">(V185+V186)/(Q186+Q185)-1</f>
        <v>0.537313432835821</v>
      </c>
      <c r="W409" s="150">
        <f t="shared" si="1619"/>
        <v>0.537313432835821</v>
      </c>
      <c r="X409" s="151">
        <f t="shared" si="1619"/>
        <v>0.471428571428572</v>
      </c>
      <c r="Y409" s="151">
        <f t="shared" si="1619"/>
        <v>0.316455696202532</v>
      </c>
      <c r="Z409" s="151">
        <f t="shared" si="1619"/>
        <v>0.0816326530612246</v>
      </c>
      <c r="AA409" s="151">
        <f t="shared" si="1619"/>
        <v>0.0679611650485437</v>
      </c>
      <c r="AB409" s="150">
        <f t="shared" si="1619"/>
        <v>0.0679611650485437</v>
      </c>
      <c r="AC409" s="151">
        <f t="shared" si="1619"/>
        <v>0.0776699029126213</v>
      </c>
      <c r="AD409" s="151">
        <f t="shared" si="1619"/>
        <v>0.0865384615384615</v>
      </c>
      <c r="AE409" s="151">
        <f t="shared" si="1619"/>
        <v>0.0943396226415094</v>
      </c>
      <c r="AF409" s="151">
        <f t="shared" si="1619"/>
        <v>0.0909090909090908</v>
      </c>
      <c r="AG409" s="150">
        <f t="shared" si="1619"/>
        <v>0.0909090909090908</v>
      </c>
      <c r="AH409" s="151">
        <f t="shared" si="1619"/>
        <v>0.108108108108108</v>
      </c>
      <c r="AI409" s="151">
        <f t="shared" si="1619"/>
        <v>0.15929203539823</v>
      </c>
      <c r="AJ409" s="151">
        <f t="shared" si="1619"/>
        <v>0.275862068965517</v>
      </c>
      <c r="AK409" s="151">
        <f t="shared" si="1619"/>
        <v>0.25</v>
      </c>
      <c r="AL409" s="150">
        <f t="shared" si="1619"/>
        <v>0.25</v>
      </c>
      <c r="AM409" s="151">
        <f t="shared" si="1619"/>
        <v>0.252032520325203</v>
      </c>
      <c r="AN409" s="151">
        <f t="shared" si="1619"/>
        <v>0.229007633587786</v>
      </c>
      <c r="AO409" s="151">
        <f t="shared" si="1619"/>
        <v>0.148648648648649</v>
      </c>
      <c r="AP409" s="151">
        <f t="shared" si="1619"/>
        <v>0.186666666666667</v>
      </c>
      <c r="AQ409" s="150">
        <f t="shared" si="1619"/>
        <v>0.186666666666667</v>
      </c>
      <c r="AR409" s="151">
        <f t="shared" si="1619"/>
        <v>0.194805194805195</v>
      </c>
      <c r="AS409" s="151">
        <f t="shared" si="1619"/>
        <v>0.186335403726708</v>
      </c>
      <c r="AT409" s="151">
        <f t="shared" si="1619"/>
        <v>0.223529411764706</v>
      </c>
      <c r="AU409" s="151">
        <f t="shared" si="1619"/>
        <v>0.196629213483146</v>
      </c>
      <c r="AV409" s="150">
        <f t="shared" si="1619"/>
        <v>0.196629213483146</v>
      </c>
      <c r="AW409" s="151">
        <f t="shared" si="1619"/>
        <v>0.173913043478261</v>
      </c>
      <c r="AX409" s="151">
        <f t="shared" si="1619"/>
        <v>0.157068062827225</v>
      </c>
      <c r="AY409" s="151">
        <f t="shared" si="1619"/>
        <v>0.139423076923077</v>
      </c>
      <c r="AZ409" s="151">
        <f t="shared" si="1619"/>
        <v>0.154929577464789</v>
      </c>
      <c r="BA409" s="150">
        <f t="shared" si="1619"/>
        <v>0.154929577464789</v>
      </c>
      <c r="BB409" s="151">
        <f t="shared" si="1619"/>
        <v>0.171296296296296</v>
      </c>
      <c r="BC409" s="151">
        <f t="shared" si="1619"/>
        <v>0.190045248868778</v>
      </c>
      <c r="BD409" s="151">
        <f t="shared" si="1619"/>
        <v>0.143459915611814</v>
      </c>
      <c r="BE409" s="151">
        <f t="shared" si="1619"/>
        <v>0.126016260162602</v>
      </c>
      <c r="BF409" s="150">
        <f t="shared" si="1619"/>
        <v>0.126016260162602</v>
      </c>
      <c r="BG409" s="151">
        <f t="shared" si="1619"/>
        <v>0.102766798418972</v>
      </c>
      <c r="BH409" s="151">
        <f t="shared" si="1619"/>
        <v>0.064638783269962</v>
      </c>
      <c r="BI409" s="151">
        <f t="shared" si="1619"/>
        <v>0.0590405904059041</v>
      </c>
      <c r="BJ409" s="151">
        <f t="shared" si="1619"/>
        <v>0.0685920577617329</v>
      </c>
      <c r="BK409" s="150">
        <f t="shared" si="1619"/>
        <v>0.0685920577617329</v>
      </c>
      <c r="BL409" s="151">
        <f t="shared" si="1619"/>
        <v>0.0681003584229392</v>
      </c>
      <c r="BM409" s="151">
        <f t="shared" si="1619"/>
        <v>0.0892857142857142</v>
      </c>
      <c r="BN409" s="151">
        <f t="shared" si="1619"/>
        <v>0.104529616724739</v>
      </c>
      <c r="BO409" s="151">
        <f t="shared" si="1619"/>
        <v>0.101351351351351</v>
      </c>
      <c r="BP409" s="150">
        <f t="shared" si="1619"/>
        <v>0.101351351351351</v>
      </c>
      <c r="BQ409" s="151">
        <f t="shared" si="1619"/>
        <v>0.0939597315436242</v>
      </c>
      <c r="BR409" s="151">
        <f t="shared" si="1619"/>
        <v>0.0721311475409836</v>
      </c>
      <c r="BS409" s="151">
        <f t="shared" si="1619"/>
        <v>0.0567823343848581</v>
      </c>
      <c r="BT409" s="151">
        <f t="shared" si="1619"/>
        <v>0.0460122699386503</v>
      </c>
      <c r="BU409" s="150">
        <f t="shared" si="1619"/>
        <v>0.0460122699386503</v>
      </c>
      <c r="BV409" s="151">
        <f t="shared" si="1619"/>
        <v>0.0644171779141105</v>
      </c>
      <c r="BW409" s="151">
        <f t="shared" si="1619"/>
        <v>0.0642201834862386</v>
      </c>
      <c r="BX409" s="151">
        <f t="shared" si="1619"/>
        <v>0.0686567164179104</v>
      </c>
      <c r="BY409" s="151">
        <f t="shared" si="1619"/>
        <v>0.0674486803519061</v>
      </c>
      <c r="BZ409" s="150">
        <f t="shared" si="1619"/>
        <v>0.0674486803519061</v>
      </c>
      <c r="CA409" s="151">
        <f t="shared" si="1619"/>
        <v>0.043227665706052</v>
      </c>
      <c r="CB409" s="151">
        <f t="shared" si="1619"/>
        <v>0.0632183908045978</v>
      </c>
      <c r="CC409" s="151">
        <f t="shared" si="1619"/>
        <v>0.0474860335195531</v>
      </c>
      <c r="CD409" s="151">
        <f t="shared" si="1619"/>
        <v>0.0357142857142858</v>
      </c>
      <c r="CE409" s="150">
        <f t="shared" si="1619"/>
        <v>0.0357142857142858</v>
      </c>
      <c r="CF409" s="151">
        <f t="shared" si="1619"/>
        <v>0.0414364640883977</v>
      </c>
      <c r="CG409" s="253">
        <f t="shared" si="1619"/>
        <v>0.027027027027027</v>
      </c>
      <c r="CH409" s="151">
        <f t="shared" ref="CH409:CT409" si="1620">(CH185+CH186)/(CC186+CC185)-1</f>
        <v>0.024</v>
      </c>
      <c r="CI409" s="151">
        <f t="shared" si="1620"/>
        <v>0.0265251989389921</v>
      </c>
      <c r="CJ409" s="150">
        <f t="shared" si="1620"/>
        <v>0.0265251989389921</v>
      </c>
      <c r="CK409" s="151">
        <f t="shared" si="1620"/>
        <v>0.0318302387267904</v>
      </c>
      <c r="CL409" s="253">
        <f t="shared" si="1620"/>
        <v>0.0421052631578946</v>
      </c>
      <c r="CM409" s="151">
        <f t="shared" si="1620"/>
        <v>0.0494791666666667</v>
      </c>
      <c r="CN409" s="151">
        <f t="shared" si="1620"/>
        <v>0.0826873385012921</v>
      </c>
      <c r="CO409" s="150">
        <f t="shared" si="1620"/>
        <v>0.0826873385012921</v>
      </c>
      <c r="CP409" s="151">
        <f t="shared" si="1620"/>
        <v>0.0951156812339331</v>
      </c>
      <c r="CQ409" s="151">
        <f t="shared" si="1620"/>
        <v>0.0757575757575757</v>
      </c>
      <c r="CR409" s="151">
        <f t="shared" si="1620"/>
        <v>0.0694789081885856</v>
      </c>
      <c r="CS409" s="151">
        <f t="shared" si="1620"/>
        <v>0.0453460620525059</v>
      </c>
      <c r="CT409" s="150">
        <f t="shared" si="1620"/>
        <v>0.0453460620525059</v>
      </c>
      <c r="CU409" s="151"/>
      <c r="CV409" s="151"/>
      <c r="CW409" s="151"/>
      <c r="CX409" s="151"/>
      <c r="CY409" s="150"/>
      <c r="CZ409" s="151"/>
      <c r="DA409" s="151"/>
      <c r="DB409" s="247"/>
      <c r="DC409" s="247"/>
      <c r="DD409" s="246"/>
      <c r="DE409" s="247"/>
      <c r="DF409" s="247"/>
      <c r="DG409" s="247"/>
      <c r="DH409" s="247"/>
      <c r="DI409" s="246"/>
      <c r="DJ409" s="247"/>
      <c r="DK409" s="247"/>
      <c r="DL409" s="247"/>
      <c r="DM409" s="247"/>
      <c r="DN409" s="246"/>
      <c r="DO409" s="247"/>
      <c r="DP409" s="247"/>
      <c r="DQ409" s="247"/>
      <c r="DR409" s="247"/>
      <c r="DS409" s="246"/>
    </row>
    <row r="410" hidden="1" outlineLevel="1" spans="2:123">
      <c r="B410" s="432" t="s">
        <v>305</v>
      </c>
      <c r="C410" s="246"/>
      <c r="D410" s="247"/>
      <c r="E410" s="247"/>
      <c r="F410" s="247"/>
      <c r="G410" s="247"/>
      <c r="H410" s="246"/>
      <c r="I410" s="247"/>
      <c r="J410" s="247"/>
      <c r="K410" s="247"/>
      <c r="L410" s="247"/>
      <c r="M410" s="246"/>
      <c r="N410" s="247"/>
      <c r="O410" s="247"/>
      <c r="P410" s="247"/>
      <c r="Q410" s="433"/>
      <c r="R410" s="246"/>
      <c r="S410" s="401">
        <f>S408-Q408</f>
        <v>3</v>
      </c>
      <c r="T410" s="401">
        <f>T408-S408</f>
        <v>9</v>
      </c>
      <c r="U410" s="401">
        <f>U408-T408</f>
        <v>19</v>
      </c>
      <c r="V410" s="401">
        <f>V408-U408</f>
        <v>5</v>
      </c>
      <c r="W410" s="408">
        <f>W408-R408</f>
        <v>36</v>
      </c>
      <c r="X410" s="401">
        <f>X408-V408</f>
        <v>0</v>
      </c>
      <c r="Y410" s="401">
        <f>Y408-X408</f>
        <v>1</v>
      </c>
      <c r="Z410" s="401">
        <f>Z408-Y408</f>
        <v>2</v>
      </c>
      <c r="AA410" s="401">
        <f>AA408-Z408</f>
        <v>4</v>
      </c>
      <c r="AB410" s="408">
        <f>AB408-W408</f>
        <v>7</v>
      </c>
      <c r="AC410" s="401">
        <f>AC408-AA408</f>
        <v>1</v>
      </c>
      <c r="AD410" s="401">
        <f>AD408-AC408</f>
        <v>2</v>
      </c>
      <c r="AE410" s="401">
        <f>AE408-AD408</f>
        <v>3</v>
      </c>
      <c r="AF410" s="401">
        <f>AF408-AE408</f>
        <v>4</v>
      </c>
      <c r="AG410" s="408">
        <f>AG408-AB408</f>
        <v>10</v>
      </c>
      <c r="AH410" s="401">
        <f>AH408-AF408</f>
        <v>3</v>
      </c>
      <c r="AI410" s="401">
        <f>AI408-AH408</f>
        <v>8</v>
      </c>
      <c r="AJ410" s="401">
        <f>AJ408-AI408</f>
        <v>17</v>
      </c>
      <c r="AK410" s="401">
        <f>AK408-AJ408</f>
        <v>2</v>
      </c>
      <c r="AL410" s="408">
        <f>AL408-AG408</f>
        <v>30</v>
      </c>
      <c r="AM410" s="401">
        <f>AM408-AK408</f>
        <v>4</v>
      </c>
      <c r="AN410" s="401">
        <f>AN408-AM408</f>
        <v>7</v>
      </c>
      <c r="AO410" s="401">
        <f>AO408-AN408</f>
        <v>9</v>
      </c>
      <c r="AP410" s="401">
        <f>AP408-AO408</f>
        <v>8</v>
      </c>
      <c r="AQ410" s="408">
        <f>AQ408-AL408</f>
        <v>28</v>
      </c>
      <c r="AR410" s="401">
        <f>AR408-AP408</f>
        <v>6</v>
      </c>
      <c r="AS410" s="401">
        <f>AS408-AR408</f>
        <v>7</v>
      </c>
      <c r="AT410" s="401">
        <f>AT408-AS408</f>
        <v>17</v>
      </c>
      <c r="AU410" s="401">
        <f>AU408-AT408</f>
        <v>5</v>
      </c>
      <c r="AV410" s="408">
        <f>AV408-AQ408</f>
        <v>35</v>
      </c>
      <c r="AW410" s="401">
        <f>AW408-AU408</f>
        <v>3</v>
      </c>
      <c r="AX410" s="401">
        <f>AX408-AW408</f>
        <v>5</v>
      </c>
      <c r="AY410" s="401">
        <f>AY408-AX408</f>
        <v>16</v>
      </c>
      <c r="AZ410" s="401">
        <f>AZ408-AY408</f>
        <v>9</v>
      </c>
      <c r="BA410" s="408">
        <f>BA408-AV408</f>
        <v>33</v>
      </c>
      <c r="BB410" s="401">
        <f>BB408-AZ408</f>
        <v>7</v>
      </c>
      <c r="BC410" s="401">
        <f>BC408-BB408</f>
        <v>10</v>
      </c>
      <c r="BD410" s="401">
        <f>BD408-BC408</f>
        <v>8</v>
      </c>
      <c r="BE410" s="401">
        <f>BE408-BD408</f>
        <v>6</v>
      </c>
      <c r="BF410" s="408">
        <f>BF408-BA408</f>
        <v>31</v>
      </c>
      <c r="BG410" s="401">
        <f>BG408-BE408</f>
        <v>2</v>
      </c>
      <c r="BH410" s="401">
        <f>BH408-BG408</f>
        <v>1</v>
      </c>
      <c r="BI410" s="401">
        <f>BI408-BH408</f>
        <v>7</v>
      </c>
      <c r="BJ410" s="401">
        <f>BJ408-BI408</f>
        <v>9</v>
      </c>
      <c r="BK410" s="408">
        <f>BK408-BF408</f>
        <v>19</v>
      </c>
      <c r="BL410" s="401">
        <f>BL408-BJ408</f>
        <v>2</v>
      </c>
      <c r="BM410" s="401">
        <f>BM408-BL408</f>
        <v>7</v>
      </c>
      <c r="BN410" s="401">
        <f>BN408-BM408</f>
        <v>12</v>
      </c>
      <c r="BO410" s="401">
        <f>BO408-BN408</f>
        <v>9</v>
      </c>
      <c r="BP410" s="408">
        <f>BP408-BK408</f>
        <v>30</v>
      </c>
      <c r="BQ410" s="401">
        <f>BQ408-BP408</f>
        <v>0</v>
      </c>
      <c r="BR410" s="401">
        <f>BR408-BQ408</f>
        <v>1</v>
      </c>
      <c r="BS410" s="401">
        <f>BS408-BR408</f>
        <v>8</v>
      </c>
      <c r="BT410" s="401">
        <f>BT408-BS408</f>
        <v>6</v>
      </c>
      <c r="BU410" s="408">
        <f>BU408-BP408</f>
        <v>15</v>
      </c>
      <c r="BV410" s="401">
        <f>BV408-BU408</f>
        <v>6</v>
      </c>
      <c r="BW410" s="401">
        <f>BW408-BV408</f>
        <v>1</v>
      </c>
      <c r="BX410" s="401">
        <f>BX408-BW408</f>
        <v>10</v>
      </c>
      <c r="BY410" s="401">
        <f>BY408-BX408</f>
        <v>6</v>
      </c>
      <c r="BZ410" s="408">
        <f>BZ408-BU408</f>
        <v>23</v>
      </c>
      <c r="CA410" s="401">
        <f>CA408-BZ408</f>
        <v>-2</v>
      </c>
      <c r="CB410" s="401">
        <f>CB408-CA408</f>
        <v>8</v>
      </c>
      <c r="CC410" s="401">
        <f>CC408-CB408</f>
        <v>5</v>
      </c>
      <c r="CD410" s="401">
        <f>CD408-CC408</f>
        <v>2</v>
      </c>
      <c r="CE410" s="408">
        <f>CE408-BZ408</f>
        <v>13</v>
      </c>
      <c r="CF410" s="401">
        <f>CF408-CE408</f>
        <v>0</v>
      </c>
      <c r="CG410" s="401">
        <f>CG408-CF408</f>
        <v>3</v>
      </c>
      <c r="CH410" s="401">
        <f>CH408-CG408</f>
        <v>4</v>
      </c>
      <c r="CI410" s="401">
        <f>CI408-CH408</f>
        <v>3</v>
      </c>
      <c r="CJ410" s="408">
        <f>CJ408-CE408</f>
        <v>10</v>
      </c>
      <c r="CK410" s="401">
        <f>CK408-CJ408</f>
        <v>2</v>
      </c>
      <c r="CL410" s="401">
        <f>CL408-CK408</f>
        <v>7</v>
      </c>
      <c r="CM410" s="401">
        <f>CM408-CL408</f>
        <v>7</v>
      </c>
      <c r="CN410" s="401">
        <f>CN408-CM408</f>
        <v>16</v>
      </c>
      <c r="CO410" s="246">
        <f>CO408-CJ408</f>
        <v>32</v>
      </c>
      <c r="CP410" s="401">
        <f>CP408-CO408</f>
        <v>7</v>
      </c>
      <c r="CQ410" s="401">
        <f>CQ408-CP408</f>
        <v>0</v>
      </c>
      <c r="CR410" s="401">
        <f>CR408-CQ408</f>
        <v>5</v>
      </c>
      <c r="CS410" s="401">
        <f>CS408-CR408</f>
        <v>7</v>
      </c>
      <c r="CT410" s="246">
        <f>CT408-CO408</f>
        <v>19</v>
      </c>
      <c r="CU410" s="401"/>
      <c r="CV410" s="401"/>
      <c r="CW410" s="401"/>
      <c r="CX410" s="401"/>
      <c r="CY410" s="246"/>
      <c r="CZ410" s="401"/>
      <c r="DA410" s="401"/>
      <c r="DB410" s="247"/>
      <c r="DC410" s="247"/>
      <c r="DD410" s="246"/>
      <c r="DE410" s="247"/>
      <c r="DF410" s="247"/>
      <c r="DG410" s="247"/>
      <c r="DH410" s="247"/>
      <c r="DI410" s="246"/>
      <c r="DJ410" s="247"/>
      <c r="DK410" s="247"/>
      <c r="DL410" s="247"/>
      <c r="DM410" s="247"/>
      <c r="DN410" s="246"/>
      <c r="DO410" s="247"/>
      <c r="DP410" s="247"/>
      <c r="DQ410" s="247"/>
      <c r="DR410" s="247"/>
      <c r="DS410" s="246"/>
    </row>
    <row r="411" hidden="1" outlineLevel="1" spans="2:123">
      <c r="B411" s="431"/>
      <c r="C411" s="246"/>
      <c r="D411" s="247"/>
      <c r="E411" s="247"/>
      <c r="F411" s="247"/>
      <c r="G411" s="247"/>
      <c r="H411" s="246"/>
      <c r="I411" s="247"/>
      <c r="J411" s="247"/>
      <c r="K411" s="247"/>
      <c r="L411" s="247"/>
      <c r="M411" s="246"/>
      <c r="N411" s="247"/>
      <c r="O411" s="247"/>
      <c r="P411" s="247"/>
      <c r="Q411" s="433"/>
      <c r="R411" s="246"/>
      <c r="S411" s="433"/>
      <c r="T411" s="433"/>
      <c r="U411" s="433"/>
      <c r="V411" s="151"/>
      <c r="W411" s="150"/>
      <c r="X411" s="151"/>
      <c r="Y411" s="151"/>
      <c r="Z411" s="151"/>
      <c r="AA411" s="151"/>
      <c r="AB411" s="150"/>
      <c r="AC411" s="151"/>
      <c r="AD411" s="151"/>
      <c r="AE411" s="151"/>
      <c r="AF411" s="151"/>
      <c r="AG411" s="150"/>
      <c r="AH411" s="151"/>
      <c r="AI411" s="151"/>
      <c r="AJ411" s="151"/>
      <c r="AK411" s="151"/>
      <c r="AL411" s="150"/>
      <c r="AM411" s="151"/>
      <c r="AN411" s="151"/>
      <c r="AO411" s="151"/>
      <c r="AP411" s="151"/>
      <c r="AQ411" s="150"/>
      <c r="AR411" s="151"/>
      <c r="AS411" s="151"/>
      <c r="AT411" s="151"/>
      <c r="AU411" s="151"/>
      <c r="AV411" s="150"/>
      <c r="AW411" s="151"/>
      <c r="AX411" s="151"/>
      <c r="AY411" s="151"/>
      <c r="AZ411" s="151"/>
      <c r="BA411" s="150"/>
      <c r="BB411" s="151"/>
      <c r="BC411" s="151"/>
      <c r="BD411" s="151"/>
      <c r="BE411" s="151"/>
      <c r="BF411" s="150"/>
      <c r="BG411" s="151"/>
      <c r="BH411" s="151"/>
      <c r="BI411" s="151"/>
      <c r="BJ411" s="151"/>
      <c r="BK411" s="150"/>
      <c r="BL411" s="151"/>
      <c r="BM411" s="151"/>
      <c r="BN411" s="151"/>
      <c r="BO411" s="151"/>
      <c r="BP411" s="150"/>
      <c r="BQ411" s="247"/>
      <c r="BR411" s="247"/>
      <c r="BS411" s="247"/>
      <c r="BT411" s="151"/>
      <c r="BU411" s="150"/>
      <c r="BV411" s="247"/>
      <c r="BW411" s="247"/>
      <c r="BX411" s="247"/>
      <c r="BY411" s="247"/>
      <c r="BZ411" s="150"/>
      <c r="CA411" s="247"/>
      <c r="CB411" s="247"/>
      <c r="CC411" s="247"/>
      <c r="CD411" s="247"/>
      <c r="CE411" s="246"/>
      <c r="CF411" s="247"/>
      <c r="CG411" s="247"/>
      <c r="CH411" s="247"/>
      <c r="CI411" s="247"/>
      <c r="CJ411" s="246"/>
      <c r="CK411" s="247"/>
      <c r="CL411" s="247"/>
      <c r="CM411" s="247"/>
      <c r="CN411" s="247"/>
      <c r="CO411" s="246"/>
      <c r="CP411" s="247"/>
      <c r="CQ411" s="247"/>
      <c r="CR411" s="247"/>
      <c r="CS411" s="247"/>
      <c r="CT411" s="246"/>
      <c r="CU411" s="247"/>
      <c r="CV411" s="247"/>
      <c r="CW411" s="247"/>
      <c r="CX411" s="247"/>
      <c r="CY411" s="246"/>
      <c r="CZ411" s="247"/>
      <c r="DA411" s="247"/>
      <c r="DB411" s="247"/>
      <c r="DC411" s="247"/>
      <c r="DD411" s="246"/>
      <c r="DE411" s="247"/>
      <c r="DF411" s="247"/>
      <c r="DG411" s="247"/>
      <c r="DH411" s="247"/>
      <c r="DI411" s="246"/>
      <c r="DJ411" s="247"/>
      <c r="DK411" s="247"/>
      <c r="DL411" s="247"/>
      <c r="DM411" s="247"/>
      <c r="DN411" s="246"/>
      <c r="DO411" s="247"/>
      <c r="DP411" s="247"/>
      <c r="DQ411" s="247"/>
      <c r="DR411" s="247"/>
      <c r="DS411" s="246"/>
    </row>
    <row r="412" hidden="1" outlineLevel="1" spans="2:123">
      <c r="B412" s="434" t="s">
        <v>405</v>
      </c>
      <c r="C412" s="246"/>
      <c r="D412" s="247"/>
      <c r="E412" s="247"/>
      <c r="F412" s="247"/>
      <c r="G412" s="247"/>
      <c r="H412" s="246"/>
      <c r="I412" s="247"/>
      <c r="J412" s="247"/>
      <c r="K412" s="247"/>
      <c r="L412" s="247"/>
      <c r="M412" s="246"/>
      <c r="N412" s="247"/>
      <c r="O412" s="247"/>
      <c r="P412" s="247"/>
      <c r="Q412" s="433">
        <v>0</v>
      </c>
      <c r="R412" s="246">
        <f t="shared" ref="R412:R424" si="1621">Q412</f>
        <v>0</v>
      </c>
      <c r="S412" s="433">
        <v>0</v>
      </c>
      <c r="T412" s="433">
        <v>0</v>
      </c>
      <c r="U412" s="433">
        <v>0</v>
      </c>
      <c r="V412" s="433">
        <v>0</v>
      </c>
      <c r="W412" s="246">
        <f t="shared" ref="W412:W424" si="1622">V412</f>
        <v>0</v>
      </c>
      <c r="X412" s="433">
        <v>0</v>
      </c>
      <c r="Y412" s="433">
        <v>0</v>
      </c>
      <c r="Z412" s="433">
        <v>0</v>
      </c>
      <c r="AA412" s="433">
        <v>0</v>
      </c>
      <c r="AB412" s="246">
        <f t="shared" ref="AB412:AB424" si="1623">AA412</f>
        <v>0</v>
      </c>
      <c r="AC412" s="433">
        <v>0</v>
      </c>
      <c r="AD412" s="433">
        <v>10</v>
      </c>
      <c r="AE412" s="433">
        <v>11</v>
      </c>
      <c r="AF412" s="433">
        <v>11</v>
      </c>
      <c r="AG412" s="246">
        <f t="shared" ref="AG412:AG424" si="1624">AF412</f>
        <v>11</v>
      </c>
      <c r="AH412" s="433">
        <v>12</v>
      </c>
      <c r="AI412" s="433">
        <v>13</v>
      </c>
      <c r="AJ412" s="435">
        <v>14</v>
      </c>
      <c r="AK412" s="435">
        <v>18</v>
      </c>
      <c r="AL412" s="246">
        <f t="shared" ref="AL412:AL424" si="1625">AK412</f>
        <v>18</v>
      </c>
      <c r="AM412" s="435">
        <v>18</v>
      </c>
      <c r="AN412" s="435">
        <v>19</v>
      </c>
      <c r="AO412" s="435">
        <v>22</v>
      </c>
      <c r="AP412" s="435">
        <v>23</v>
      </c>
      <c r="AQ412" s="246">
        <f t="shared" ref="AQ412:AQ424" si="1626">AP412</f>
        <v>23</v>
      </c>
      <c r="AR412" s="435">
        <v>24</v>
      </c>
      <c r="AS412" s="435">
        <v>24</v>
      </c>
      <c r="AT412" s="435">
        <v>25</v>
      </c>
      <c r="AU412" s="435">
        <v>25</v>
      </c>
      <c r="AV412" s="246">
        <f t="shared" ref="AV412:AV424" si="1627">AU412</f>
        <v>25</v>
      </c>
      <c r="AW412" s="435">
        <v>26</v>
      </c>
      <c r="AX412" s="435">
        <v>25</v>
      </c>
      <c r="AY412" s="435">
        <v>25</v>
      </c>
      <c r="AZ412" s="435">
        <v>26</v>
      </c>
      <c r="BA412" s="246">
        <f t="shared" ref="BA412:BA424" si="1628">AZ412</f>
        <v>26</v>
      </c>
      <c r="BB412" s="435">
        <v>26</v>
      </c>
      <c r="BC412" s="435">
        <v>26</v>
      </c>
      <c r="BD412" s="435">
        <v>26</v>
      </c>
      <c r="BE412" s="435">
        <v>26</v>
      </c>
      <c r="BF412" s="246">
        <f t="shared" ref="BF412:BF424" si="1629">BE412</f>
        <v>26</v>
      </c>
      <c r="BG412" s="435">
        <v>27</v>
      </c>
      <c r="BH412" s="435">
        <v>27</v>
      </c>
      <c r="BI412" s="435">
        <v>25</v>
      </c>
      <c r="BJ412" s="435">
        <v>27</v>
      </c>
      <c r="BK412" s="246">
        <f t="shared" ref="BK412:BK424" si="1630">BJ412</f>
        <v>27</v>
      </c>
      <c r="BL412" s="435">
        <v>27</v>
      </c>
      <c r="BM412" s="435">
        <v>27</v>
      </c>
      <c r="BN412" s="435">
        <v>27</v>
      </c>
      <c r="BO412" s="247">
        <v>28</v>
      </c>
      <c r="BP412" s="246">
        <f t="shared" ref="BP412:BP424" si="1631">BO412</f>
        <v>28</v>
      </c>
      <c r="BQ412" s="247">
        <v>29</v>
      </c>
      <c r="BR412" s="247">
        <v>29</v>
      </c>
      <c r="BS412" s="247">
        <v>29</v>
      </c>
      <c r="BT412" s="247">
        <v>29</v>
      </c>
      <c r="BU412" s="246">
        <f t="shared" ref="BU412:BU426" si="1632">BT412</f>
        <v>29</v>
      </c>
      <c r="BV412" s="247">
        <v>31</v>
      </c>
      <c r="BW412" s="247">
        <v>31</v>
      </c>
      <c r="BX412" s="247">
        <v>31</v>
      </c>
      <c r="BY412" s="247">
        <v>31</v>
      </c>
      <c r="BZ412" s="246">
        <f t="shared" ref="BZ412:BZ430" si="1633">BY412</f>
        <v>31</v>
      </c>
      <c r="CA412" s="247">
        <v>31</v>
      </c>
      <c r="CB412" s="247">
        <v>31</v>
      </c>
      <c r="CC412" s="247">
        <v>31</v>
      </c>
      <c r="CD412" s="247">
        <v>31</v>
      </c>
      <c r="CE412" s="246">
        <f t="shared" ref="CE412:CE430" si="1634">CD412</f>
        <v>31</v>
      </c>
      <c r="CF412" s="247">
        <v>30</v>
      </c>
      <c r="CG412" s="247">
        <v>30</v>
      </c>
      <c r="CH412" s="247">
        <v>30</v>
      </c>
      <c r="CI412" s="247">
        <v>31</v>
      </c>
      <c r="CJ412" s="246">
        <f t="shared" ref="CJ412:CJ430" si="1635">CI412</f>
        <v>31</v>
      </c>
      <c r="CK412" s="247">
        <v>31</v>
      </c>
      <c r="CL412" s="247">
        <v>31</v>
      </c>
      <c r="CM412" s="272">
        <v>31</v>
      </c>
      <c r="CN412" s="247">
        <v>32</v>
      </c>
      <c r="CO412" s="246">
        <f t="shared" ref="CO412:CO430" si="1636">CN412</f>
        <v>32</v>
      </c>
      <c r="CP412" s="272">
        <v>32</v>
      </c>
      <c r="CQ412" s="247">
        <v>32</v>
      </c>
      <c r="CR412" s="247">
        <v>32</v>
      </c>
      <c r="CS412" s="247">
        <v>33</v>
      </c>
      <c r="CT412" s="246">
        <f t="shared" ref="CT412:CT431" si="1637">CS412</f>
        <v>33</v>
      </c>
      <c r="CU412" s="247"/>
      <c r="CV412" s="247"/>
      <c r="CW412" s="247"/>
      <c r="CX412" s="247"/>
      <c r="CY412" s="246"/>
      <c r="CZ412" s="247"/>
      <c r="DA412" s="247"/>
      <c r="DB412" s="247"/>
      <c r="DC412" s="247"/>
      <c r="DD412" s="246"/>
      <c r="DE412" s="247"/>
      <c r="DF412" s="247"/>
      <c r="DG412" s="247"/>
      <c r="DH412" s="247"/>
      <c r="DI412" s="246"/>
      <c r="DJ412" s="247"/>
      <c r="DK412" s="247"/>
      <c r="DL412" s="247"/>
      <c r="DM412" s="247"/>
      <c r="DN412" s="246"/>
      <c r="DO412" s="247"/>
      <c r="DP412" s="247"/>
      <c r="DQ412" s="247"/>
      <c r="DR412" s="247"/>
      <c r="DS412" s="246"/>
    </row>
    <row r="413" hidden="1" outlineLevel="1" spans="2:123">
      <c r="B413" s="434" t="s">
        <v>406</v>
      </c>
      <c r="C413" s="246"/>
      <c r="D413" s="247"/>
      <c r="E413" s="247"/>
      <c r="F413" s="247"/>
      <c r="G413" s="247"/>
      <c r="H413" s="246"/>
      <c r="I413" s="247"/>
      <c r="J413" s="247"/>
      <c r="K413" s="247"/>
      <c r="L413" s="247"/>
      <c r="M413" s="246"/>
      <c r="N413" s="247"/>
      <c r="O413" s="247"/>
      <c r="P413" s="247"/>
      <c r="Q413" s="433">
        <v>0</v>
      </c>
      <c r="R413" s="246">
        <f t="shared" si="1621"/>
        <v>0</v>
      </c>
      <c r="S413" s="433">
        <v>0</v>
      </c>
      <c r="T413" s="433">
        <v>0</v>
      </c>
      <c r="U413" s="433">
        <v>0</v>
      </c>
      <c r="V413" s="433">
        <v>0</v>
      </c>
      <c r="W413" s="246">
        <f t="shared" si="1622"/>
        <v>0</v>
      </c>
      <c r="X413" s="433">
        <v>0</v>
      </c>
      <c r="Y413" s="433">
        <v>0</v>
      </c>
      <c r="Z413" s="433">
        <v>0</v>
      </c>
      <c r="AA413" s="433">
        <v>0</v>
      </c>
      <c r="AB413" s="246">
        <f t="shared" si="1623"/>
        <v>0</v>
      </c>
      <c r="AC413" s="433">
        <v>0</v>
      </c>
      <c r="AD413" s="433">
        <v>0</v>
      </c>
      <c r="AE413" s="433">
        <v>0</v>
      </c>
      <c r="AF413" s="433">
        <v>0</v>
      </c>
      <c r="AG413" s="246">
        <f t="shared" si="1624"/>
        <v>0</v>
      </c>
      <c r="AH413" s="433">
        <v>0</v>
      </c>
      <c r="AI413" s="433">
        <v>0</v>
      </c>
      <c r="AJ413" s="435">
        <v>0</v>
      </c>
      <c r="AK413" s="435">
        <v>1</v>
      </c>
      <c r="AL413" s="246">
        <f t="shared" si="1625"/>
        <v>1</v>
      </c>
      <c r="AM413" s="435">
        <v>1</v>
      </c>
      <c r="AN413" s="435">
        <v>2</v>
      </c>
      <c r="AO413" s="435">
        <v>2</v>
      </c>
      <c r="AP413" s="435">
        <v>2</v>
      </c>
      <c r="AQ413" s="246">
        <f t="shared" si="1626"/>
        <v>2</v>
      </c>
      <c r="AR413" s="435">
        <v>2</v>
      </c>
      <c r="AS413" s="435">
        <v>2</v>
      </c>
      <c r="AT413" s="435">
        <v>3</v>
      </c>
      <c r="AU413" s="435">
        <v>4</v>
      </c>
      <c r="AV413" s="246">
        <f t="shared" si="1627"/>
        <v>4</v>
      </c>
      <c r="AW413" s="435">
        <v>4</v>
      </c>
      <c r="AX413" s="435">
        <v>5</v>
      </c>
      <c r="AY413" s="435">
        <v>5</v>
      </c>
      <c r="AZ413" s="435">
        <v>5</v>
      </c>
      <c r="BA413" s="246">
        <f t="shared" si="1628"/>
        <v>5</v>
      </c>
      <c r="BB413" s="435">
        <v>5</v>
      </c>
      <c r="BC413" s="435">
        <v>5</v>
      </c>
      <c r="BD413" s="435">
        <v>5</v>
      </c>
      <c r="BE413" s="435">
        <v>5</v>
      </c>
      <c r="BF413" s="246">
        <f t="shared" si="1629"/>
        <v>5</v>
      </c>
      <c r="BG413" s="435">
        <v>5</v>
      </c>
      <c r="BH413" s="435">
        <v>5</v>
      </c>
      <c r="BI413" s="435">
        <v>5</v>
      </c>
      <c r="BJ413" s="435">
        <v>5</v>
      </c>
      <c r="BK413" s="246">
        <f t="shared" si="1630"/>
        <v>5</v>
      </c>
      <c r="BL413" s="435">
        <v>5</v>
      </c>
      <c r="BM413" s="435">
        <v>6</v>
      </c>
      <c r="BN413" s="435">
        <v>6</v>
      </c>
      <c r="BO413" s="247">
        <v>9</v>
      </c>
      <c r="BP413" s="246">
        <f t="shared" si="1631"/>
        <v>9</v>
      </c>
      <c r="BQ413" s="247">
        <v>6</v>
      </c>
      <c r="BR413" s="247">
        <v>6</v>
      </c>
      <c r="BS413" s="247">
        <v>6</v>
      </c>
      <c r="BT413" s="247">
        <v>7</v>
      </c>
      <c r="BU413" s="246">
        <f t="shared" si="1632"/>
        <v>7</v>
      </c>
      <c r="BV413" s="247">
        <v>7</v>
      </c>
      <c r="BW413" s="247">
        <v>7</v>
      </c>
      <c r="BX413" s="247">
        <v>7</v>
      </c>
      <c r="BY413" s="247">
        <v>7</v>
      </c>
      <c r="BZ413" s="246">
        <f t="shared" si="1633"/>
        <v>7</v>
      </c>
      <c r="CA413" s="247">
        <v>7</v>
      </c>
      <c r="CB413" s="247">
        <v>7</v>
      </c>
      <c r="CC413" s="247">
        <v>7</v>
      </c>
      <c r="CD413" s="247">
        <v>7</v>
      </c>
      <c r="CE413" s="246">
        <f t="shared" si="1634"/>
        <v>7</v>
      </c>
      <c r="CF413" s="247">
        <v>7</v>
      </c>
      <c r="CG413" s="247">
        <v>7</v>
      </c>
      <c r="CH413" s="247">
        <v>7</v>
      </c>
      <c r="CI413" s="247">
        <v>7</v>
      </c>
      <c r="CJ413" s="246">
        <f t="shared" si="1635"/>
        <v>7</v>
      </c>
      <c r="CK413" s="247">
        <v>7</v>
      </c>
      <c r="CL413" s="247">
        <v>8</v>
      </c>
      <c r="CM413" s="272">
        <v>8</v>
      </c>
      <c r="CN413" s="247">
        <v>8</v>
      </c>
      <c r="CO413" s="246">
        <f t="shared" si="1636"/>
        <v>8</v>
      </c>
      <c r="CP413" s="272">
        <v>8</v>
      </c>
      <c r="CQ413" s="247">
        <v>8</v>
      </c>
      <c r="CR413" s="247">
        <v>8</v>
      </c>
      <c r="CS413" s="247">
        <v>8</v>
      </c>
      <c r="CT413" s="246">
        <f t="shared" si="1637"/>
        <v>8</v>
      </c>
      <c r="CU413" s="247"/>
      <c r="CV413" s="247"/>
      <c r="CW413" s="247"/>
      <c r="CX413" s="247"/>
      <c r="CY413" s="246"/>
      <c r="CZ413" s="247"/>
      <c r="DA413" s="247"/>
      <c r="DB413" s="247"/>
      <c r="DC413" s="247"/>
      <c r="DD413" s="246"/>
      <c r="DE413" s="247"/>
      <c r="DF413" s="247"/>
      <c r="DG413" s="247"/>
      <c r="DH413" s="247"/>
      <c r="DI413" s="246"/>
      <c r="DJ413" s="247"/>
      <c r="DK413" s="247"/>
      <c r="DL413" s="247"/>
      <c r="DM413" s="247"/>
      <c r="DN413" s="246"/>
      <c r="DO413" s="247"/>
      <c r="DP413" s="247"/>
      <c r="DQ413" s="247"/>
      <c r="DR413" s="247"/>
      <c r="DS413" s="246"/>
    </row>
    <row r="414" hidden="1" outlineLevel="1" spans="2:123">
      <c r="B414" s="434" t="s">
        <v>407</v>
      </c>
      <c r="C414" s="246"/>
      <c r="D414" s="247"/>
      <c r="E414" s="247"/>
      <c r="F414" s="247"/>
      <c r="G414" s="247"/>
      <c r="H414" s="246"/>
      <c r="I414" s="247"/>
      <c r="J414" s="247"/>
      <c r="K414" s="247"/>
      <c r="L414" s="247"/>
      <c r="M414" s="246"/>
      <c r="N414" s="247"/>
      <c r="O414" s="247"/>
      <c r="P414" s="247"/>
      <c r="Q414" s="433">
        <v>0</v>
      </c>
      <c r="R414" s="246">
        <f t="shared" si="1621"/>
        <v>0</v>
      </c>
      <c r="S414" s="433">
        <v>0</v>
      </c>
      <c r="T414" s="433">
        <v>0</v>
      </c>
      <c r="U414" s="433">
        <v>0</v>
      </c>
      <c r="V414" s="433">
        <v>0</v>
      </c>
      <c r="W414" s="246">
        <f t="shared" si="1622"/>
        <v>0</v>
      </c>
      <c r="X414" s="433">
        <v>0</v>
      </c>
      <c r="Y414" s="433">
        <v>0</v>
      </c>
      <c r="Z414" s="433">
        <v>0</v>
      </c>
      <c r="AA414" s="433">
        <v>0</v>
      </c>
      <c r="AB414" s="246">
        <f t="shared" si="1623"/>
        <v>0</v>
      </c>
      <c r="AC414" s="433">
        <v>0</v>
      </c>
      <c r="AD414" s="433">
        <v>0</v>
      </c>
      <c r="AE414" s="433">
        <v>0</v>
      </c>
      <c r="AF414" s="433">
        <v>0</v>
      </c>
      <c r="AG414" s="246">
        <f t="shared" si="1624"/>
        <v>0</v>
      </c>
      <c r="AH414" s="433">
        <v>0</v>
      </c>
      <c r="AI414" s="433">
        <v>0</v>
      </c>
      <c r="AJ414" s="435">
        <v>0</v>
      </c>
      <c r="AK414" s="435">
        <v>0</v>
      </c>
      <c r="AL414" s="246">
        <f t="shared" si="1625"/>
        <v>0</v>
      </c>
      <c r="AM414" s="435">
        <v>0</v>
      </c>
      <c r="AN414" s="435">
        <v>0</v>
      </c>
      <c r="AO414" s="435">
        <v>0</v>
      </c>
      <c r="AP414" s="435">
        <v>0</v>
      </c>
      <c r="AQ414" s="246">
        <f t="shared" si="1626"/>
        <v>0</v>
      </c>
      <c r="AR414" s="435">
        <v>0</v>
      </c>
      <c r="AS414" s="435">
        <v>0</v>
      </c>
      <c r="AT414" s="435">
        <v>0</v>
      </c>
      <c r="AU414" s="435">
        <v>0</v>
      </c>
      <c r="AV414" s="246">
        <f t="shared" si="1627"/>
        <v>0</v>
      </c>
      <c r="AW414" s="435">
        <v>1</v>
      </c>
      <c r="AX414" s="435">
        <v>1</v>
      </c>
      <c r="AY414" s="435">
        <v>1</v>
      </c>
      <c r="AZ414" s="435">
        <v>2</v>
      </c>
      <c r="BA414" s="246">
        <f t="shared" si="1628"/>
        <v>2</v>
      </c>
      <c r="BB414" s="435">
        <v>2</v>
      </c>
      <c r="BC414" s="435">
        <v>4</v>
      </c>
      <c r="BD414" s="435">
        <v>5</v>
      </c>
      <c r="BE414" s="435">
        <v>6</v>
      </c>
      <c r="BF414" s="246">
        <f t="shared" si="1629"/>
        <v>6</v>
      </c>
      <c r="BG414" s="435">
        <v>6</v>
      </c>
      <c r="BH414" s="435">
        <v>6</v>
      </c>
      <c r="BI414" s="435">
        <v>8</v>
      </c>
      <c r="BJ414" s="435">
        <v>9</v>
      </c>
      <c r="BK414" s="246">
        <f t="shared" si="1630"/>
        <v>9</v>
      </c>
      <c r="BL414" s="435">
        <v>9</v>
      </c>
      <c r="BM414" s="435">
        <v>9</v>
      </c>
      <c r="BN414" s="435">
        <v>9</v>
      </c>
      <c r="BO414" s="247">
        <v>3</v>
      </c>
      <c r="BP414" s="246">
        <f t="shared" si="1631"/>
        <v>3</v>
      </c>
      <c r="BQ414" s="247">
        <v>10</v>
      </c>
      <c r="BR414" s="247">
        <v>11</v>
      </c>
      <c r="BS414" s="247">
        <v>12</v>
      </c>
      <c r="BT414" s="247">
        <v>12</v>
      </c>
      <c r="BU414" s="246">
        <f t="shared" si="1632"/>
        <v>12</v>
      </c>
      <c r="BV414" s="247">
        <v>12</v>
      </c>
      <c r="BW414" s="247">
        <v>13</v>
      </c>
      <c r="BX414" s="247">
        <v>14</v>
      </c>
      <c r="BY414" s="247">
        <v>14</v>
      </c>
      <c r="BZ414" s="246">
        <f t="shared" si="1633"/>
        <v>14</v>
      </c>
      <c r="CA414" s="247">
        <v>14</v>
      </c>
      <c r="CB414" s="247">
        <v>15</v>
      </c>
      <c r="CC414" s="247">
        <v>16</v>
      </c>
      <c r="CD414" s="247">
        <v>16</v>
      </c>
      <c r="CE414" s="246">
        <f t="shared" si="1634"/>
        <v>16</v>
      </c>
      <c r="CF414" s="247">
        <v>16</v>
      </c>
      <c r="CG414" s="247">
        <v>16</v>
      </c>
      <c r="CH414" s="247">
        <v>17</v>
      </c>
      <c r="CI414" s="247">
        <v>17</v>
      </c>
      <c r="CJ414" s="246">
        <f t="shared" si="1635"/>
        <v>17</v>
      </c>
      <c r="CK414" s="247">
        <v>18</v>
      </c>
      <c r="CL414" s="247">
        <v>19</v>
      </c>
      <c r="CM414" s="272">
        <v>20</v>
      </c>
      <c r="CN414" s="247">
        <v>20</v>
      </c>
      <c r="CO414" s="246">
        <f t="shared" si="1636"/>
        <v>20</v>
      </c>
      <c r="CP414" s="272">
        <v>20</v>
      </c>
      <c r="CQ414" s="247">
        <v>20</v>
      </c>
      <c r="CR414" s="247">
        <v>20</v>
      </c>
      <c r="CS414" s="247">
        <v>20</v>
      </c>
      <c r="CT414" s="246">
        <f t="shared" si="1637"/>
        <v>20</v>
      </c>
      <c r="CU414" s="247"/>
      <c r="CV414" s="247"/>
      <c r="CW414" s="247"/>
      <c r="CX414" s="247"/>
      <c r="CY414" s="246"/>
      <c r="CZ414" s="247"/>
      <c r="DA414" s="247"/>
      <c r="DB414" s="247"/>
      <c r="DC414" s="247"/>
      <c r="DD414" s="246"/>
      <c r="DE414" s="247"/>
      <c r="DF414" s="247"/>
      <c r="DG414" s="247"/>
      <c r="DH414" s="247"/>
      <c r="DI414" s="246"/>
      <c r="DJ414" s="247"/>
      <c r="DK414" s="247"/>
      <c r="DL414" s="247"/>
      <c r="DM414" s="247"/>
      <c r="DN414" s="246"/>
      <c r="DO414" s="247"/>
      <c r="DP414" s="247"/>
      <c r="DQ414" s="247"/>
      <c r="DR414" s="247"/>
      <c r="DS414" s="246"/>
    </row>
    <row r="415" hidden="1" outlineLevel="1" spans="2:123">
      <c r="B415" s="434" t="s">
        <v>408</v>
      </c>
      <c r="C415" s="246"/>
      <c r="D415" s="247"/>
      <c r="E415" s="247"/>
      <c r="F415" s="247"/>
      <c r="G415" s="247"/>
      <c r="H415" s="246"/>
      <c r="I415" s="247"/>
      <c r="J415" s="247"/>
      <c r="K415" s="247"/>
      <c r="L415" s="247"/>
      <c r="M415" s="246"/>
      <c r="N415" s="247"/>
      <c r="O415" s="247"/>
      <c r="P415" s="247"/>
      <c r="Q415" s="433">
        <v>0</v>
      </c>
      <c r="R415" s="246">
        <f t="shared" si="1621"/>
        <v>0</v>
      </c>
      <c r="S415" s="433">
        <v>0</v>
      </c>
      <c r="T415" s="433">
        <v>0</v>
      </c>
      <c r="U415" s="433">
        <v>0</v>
      </c>
      <c r="V415" s="433">
        <v>0</v>
      </c>
      <c r="W415" s="246">
        <f t="shared" si="1622"/>
        <v>0</v>
      </c>
      <c r="X415" s="433">
        <v>0</v>
      </c>
      <c r="Y415" s="433">
        <v>0</v>
      </c>
      <c r="Z415" s="433">
        <v>0</v>
      </c>
      <c r="AA415" s="433">
        <v>0</v>
      </c>
      <c r="AB415" s="246">
        <f t="shared" si="1623"/>
        <v>0</v>
      </c>
      <c r="AC415" s="433">
        <v>0</v>
      </c>
      <c r="AD415" s="433">
        <v>0</v>
      </c>
      <c r="AE415" s="433">
        <v>0</v>
      </c>
      <c r="AF415" s="433">
        <v>0</v>
      </c>
      <c r="AG415" s="246">
        <f t="shared" si="1624"/>
        <v>0</v>
      </c>
      <c r="AH415" s="433">
        <v>0</v>
      </c>
      <c r="AI415" s="433">
        <v>0</v>
      </c>
      <c r="AJ415" s="435">
        <v>0</v>
      </c>
      <c r="AK415" s="435">
        <v>0</v>
      </c>
      <c r="AL415" s="246">
        <f t="shared" si="1625"/>
        <v>0</v>
      </c>
      <c r="AM415" s="435">
        <v>0</v>
      </c>
      <c r="AN415" s="435">
        <v>0</v>
      </c>
      <c r="AO415" s="435">
        <v>0</v>
      </c>
      <c r="AP415" s="435">
        <v>0</v>
      </c>
      <c r="AQ415" s="246">
        <f t="shared" si="1626"/>
        <v>0</v>
      </c>
      <c r="AR415" s="435">
        <v>0</v>
      </c>
      <c r="AS415" s="435">
        <v>0</v>
      </c>
      <c r="AT415" s="435">
        <v>0</v>
      </c>
      <c r="AU415" s="435">
        <v>0</v>
      </c>
      <c r="AV415" s="246">
        <f t="shared" si="1627"/>
        <v>0</v>
      </c>
      <c r="AW415" s="435">
        <v>0</v>
      </c>
      <c r="AX415" s="435">
        <v>0</v>
      </c>
      <c r="AY415" s="435">
        <v>0</v>
      </c>
      <c r="AZ415" s="435">
        <v>1</v>
      </c>
      <c r="BA415" s="246">
        <f t="shared" si="1628"/>
        <v>1</v>
      </c>
      <c r="BB415" s="435">
        <v>1</v>
      </c>
      <c r="BC415" s="435">
        <v>2</v>
      </c>
      <c r="BD415" s="435">
        <v>2</v>
      </c>
      <c r="BE415" s="435">
        <v>2</v>
      </c>
      <c r="BF415" s="246">
        <f t="shared" si="1629"/>
        <v>2</v>
      </c>
      <c r="BG415" s="435">
        <v>3</v>
      </c>
      <c r="BH415" s="435">
        <v>3</v>
      </c>
      <c r="BI415" s="435">
        <v>3</v>
      </c>
      <c r="BJ415" s="435">
        <v>3</v>
      </c>
      <c r="BK415" s="246">
        <f t="shared" si="1630"/>
        <v>3</v>
      </c>
      <c r="BL415" s="435">
        <v>3</v>
      </c>
      <c r="BM415" s="435">
        <v>3</v>
      </c>
      <c r="BN415" s="435">
        <v>3</v>
      </c>
      <c r="BO415" s="247">
        <v>6</v>
      </c>
      <c r="BP415" s="246">
        <f t="shared" si="1631"/>
        <v>6</v>
      </c>
      <c r="BQ415" s="247">
        <v>3</v>
      </c>
      <c r="BR415" s="247">
        <v>3</v>
      </c>
      <c r="BS415" s="247">
        <v>3</v>
      </c>
      <c r="BT415" s="247">
        <v>3</v>
      </c>
      <c r="BU415" s="246">
        <f t="shared" si="1632"/>
        <v>3</v>
      </c>
      <c r="BV415" s="247">
        <v>3</v>
      </c>
      <c r="BW415" s="247">
        <v>4</v>
      </c>
      <c r="BX415" s="247">
        <v>4</v>
      </c>
      <c r="BY415" s="247">
        <v>4</v>
      </c>
      <c r="BZ415" s="246">
        <f t="shared" si="1633"/>
        <v>4</v>
      </c>
      <c r="CA415" s="247">
        <v>4</v>
      </c>
      <c r="CB415" s="247">
        <v>4</v>
      </c>
      <c r="CC415" s="247">
        <v>4</v>
      </c>
      <c r="CD415" s="247">
        <v>4</v>
      </c>
      <c r="CE415" s="246">
        <f t="shared" si="1634"/>
        <v>4</v>
      </c>
      <c r="CF415" s="247">
        <v>4</v>
      </c>
      <c r="CG415" s="247">
        <v>4</v>
      </c>
      <c r="CH415" s="247">
        <v>5</v>
      </c>
      <c r="CI415" s="247">
        <v>6</v>
      </c>
      <c r="CJ415" s="246">
        <f t="shared" si="1635"/>
        <v>6</v>
      </c>
      <c r="CK415" s="247">
        <v>6</v>
      </c>
      <c r="CL415" s="247">
        <v>7</v>
      </c>
      <c r="CM415" s="272">
        <v>8</v>
      </c>
      <c r="CN415" s="247">
        <v>8</v>
      </c>
      <c r="CO415" s="246">
        <f t="shared" si="1636"/>
        <v>8</v>
      </c>
      <c r="CP415" s="272">
        <v>7</v>
      </c>
      <c r="CQ415" s="247">
        <v>7</v>
      </c>
      <c r="CR415" s="247">
        <v>7</v>
      </c>
      <c r="CS415" s="247">
        <v>7</v>
      </c>
      <c r="CT415" s="246">
        <f t="shared" si="1637"/>
        <v>7</v>
      </c>
      <c r="CU415" s="247"/>
      <c r="CV415" s="247"/>
      <c r="CW415" s="247"/>
      <c r="CX415" s="247"/>
      <c r="CY415" s="246"/>
      <c r="CZ415" s="247"/>
      <c r="DA415" s="247"/>
      <c r="DB415" s="247"/>
      <c r="DC415" s="247"/>
      <c r="DD415" s="246"/>
      <c r="DE415" s="247"/>
      <c r="DF415" s="247"/>
      <c r="DG415" s="247"/>
      <c r="DH415" s="247"/>
      <c r="DI415" s="246"/>
      <c r="DJ415" s="247"/>
      <c r="DK415" s="247"/>
      <c r="DL415" s="247"/>
      <c r="DM415" s="247"/>
      <c r="DN415" s="246"/>
      <c r="DO415" s="247"/>
      <c r="DP415" s="247"/>
      <c r="DQ415" s="247"/>
      <c r="DR415" s="247"/>
      <c r="DS415" s="246"/>
    </row>
    <row r="416" hidden="1" outlineLevel="1" spans="2:123">
      <c r="B416" s="434" t="s">
        <v>409</v>
      </c>
      <c r="C416" s="246"/>
      <c r="D416" s="247"/>
      <c r="E416" s="247"/>
      <c r="F416" s="247"/>
      <c r="G416" s="247"/>
      <c r="H416" s="246"/>
      <c r="I416" s="247"/>
      <c r="J416" s="247"/>
      <c r="K416" s="247"/>
      <c r="L416" s="247"/>
      <c r="M416" s="246"/>
      <c r="N416" s="247"/>
      <c r="O416" s="247"/>
      <c r="P416" s="247"/>
      <c r="Q416" s="433">
        <v>4</v>
      </c>
      <c r="R416" s="246">
        <f t="shared" si="1621"/>
        <v>4</v>
      </c>
      <c r="S416" s="433">
        <v>4</v>
      </c>
      <c r="T416" s="433">
        <v>1</v>
      </c>
      <c r="U416" s="433">
        <v>0</v>
      </c>
      <c r="V416" s="433">
        <v>0</v>
      </c>
      <c r="W416" s="246">
        <f t="shared" si="1622"/>
        <v>0</v>
      </c>
      <c r="X416" s="433">
        <v>0</v>
      </c>
      <c r="Y416" s="433">
        <v>0</v>
      </c>
      <c r="Z416" s="433">
        <v>0</v>
      </c>
      <c r="AA416" s="433">
        <v>0</v>
      </c>
      <c r="AB416" s="246">
        <f t="shared" si="1623"/>
        <v>0</v>
      </c>
      <c r="AC416" s="433">
        <v>0</v>
      </c>
      <c r="AD416" s="433">
        <v>0</v>
      </c>
      <c r="AE416" s="433">
        <v>0</v>
      </c>
      <c r="AF416" s="433">
        <v>0</v>
      </c>
      <c r="AG416" s="246">
        <f t="shared" si="1624"/>
        <v>0</v>
      </c>
      <c r="AH416" s="433">
        <v>0</v>
      </c>
      <c r="AI416" s="433">
        <v>0</v>
      </c>
      <c r="AJ416" s="435">
        <v>0</v>
      </c>
      <c r="AK416" s="435">
        <v>0</v>
      </c>
      <c r="AL416" s="246">
        <f t="shared" si="1625"/>
        <v>0</v>
      </c>
      <c r="AM416" s="435">
        <v>0</v>
      </c>
      <c r="AN416" s="435">
        <v>0</v>
      </c>
      <c r="AO416" s="435">
        <v>0</v>
      </c>
      <c r="AP416" s="435">
        <v>0</v>
      </c>
      <c r="AQ416" s="246">
        <f t="shared" si="1626"/>
        <v>0</v>
      </c>
      <c r="AR416" s="435">
        <v>0</v>
      </c>
      <c r="AS416" s="435">
        <v>0</v>
      </c>
      <c r="AT416" s="435">
        <v>0</v>
      </c>
      <c r="AU416" s="435">
        <v>0</v>
      </c>
      <c r="AV416" s="246">
        <f t="shared" si="1627"/>
        <v>0</v>
      </c>
      <c r="AW416" s="435">
        <v>0</v>
      </c>
      <c r="AX416" s="435">
        <v>0</v>
      </c>
      <c r="AY416" s="435">
        <v>0</v>
      </c>
      <c r="AZ416" s="435">
        <v>0</v>
      </c>
      <c r="BA416" s="246">
        <f t="shared" si="1628"/>
        <v>0</v>
      </c>
      <c r="BB416" s="435">
        <v>0</v>
      </c>
      <c r="BC416" s="435">
        <v>0</v>
      </c>
      <c r="BD416" s="435">
        <v>0</v>
      </c>
      <c r="BE416" s="435">
        <v>0</v>
      </c>
      <c r="BF416" s="246">
        <f t="shared" si="1629"/>
        <v>0</v>
      </c>
      <c r="BG416" s="435">
        <v>0</v>
      </c>
      <c r="BH416" s="435">
        <v>0</v>
      </c>
      <c r="BI416" s="435">
        <v>0</v>
      </c>
      <c r="BJ416" s="435">
        <v>0</v>
      </c>
      <c r="BK416" s="246">
        <f t="shared" si="1630"/>
        <v>0</v>
      </c>
      <c r="BL416" s="435">
        <v>1</v>
      </c>
      <c r="BM416" s="435">
        <v>1</v>
      </c>
      <c r="BN416" s="435">
        <v>1</v>
      </c>
      <c r="BO416" s="247">
        <v>2</v>
      </c>
      <c r="BP416" s="246">
        <f t="shared" si="1631"/>
        <v>2</v>
      </c>
      <c r="BQ416" s="247">
        <v>4</v>
      </c>
      <c r="BR416" s="247">
        <v>4</v>
      </c>
      <c r="BS416" s="247">
        <v>4</v>
      </c>
      <c r="BT416" s="247">
        <v>5</v>
      </c>
      <c r="BU416" s="246">
        <f t="shared" si="1632"/>
        <v>5</v>
      </c>
      <c r="BV416" s="247">
        <v>6</v>
      </c>
      <c r="BW416" s="247">
        <v>6</v>
      </c>
      <c r="BX416" s="247">
        <v>7</v>
      </c>
      <c r="BY416" s="247">
        <v>7</v>
      </c>
      <c r="BZ416" s="246">
        <f t="shared" si="1633"/>
        <v>7</v>
      </c>
      <c r="CA416" s="247">
        <v>7</v>
      </c>
      <c r="CB416" s="247">
        <v>8</v>
      </c>
      <c r="CC416" s="247">
        <v>7</v>
      </c>
      <c r="CD416" s="247">
        <v>6</v>
      </c>
      <c r="CE416" s="246">
        <f t="shared" si="1634"/>
        <v>6</v>
      </c>
      <c r="CF416" s="247">
        <v>6</v>
      </c>
      <c r="CG416" s="247">
        <v>6</v>
      </c>
      <c r="CH416" s="247">
        <v>6</v>
      </c>
      <c r="CI416" s="247">
        <v>6</v>
      </c>
      <c r="CJ416" s="246">
        <f t="shared" si="1635"/>
        <v>6</v>
      </c>
      <c r="CK416" s="247">
        <v>6</v>
      </c>
      <c r="CL416" s="247">
        <v>6</v>
      </c>
      <c r="CM416" s="272">
        <v>6</v>
      </c>
      <c r="CN416" s="247">
        <v>7</v>
      </c>
      <c r="CO416" s="246">
        <f t="shared" si="1636"/>
        <v>7</v>
      </c>
      <c r="CP416" s="272">
        <v>7</v>
      </c>
      <c r="CQ416" s="247">
        <v>7</v>
      </c>
      <c r="CR416" s="247">
        <v>7</v>
      </c>
      <c r="CS416" s="247">
        <v>8</v>
      </c>
      <c r="CT416" s="246">
        <f t="shared" si="1637"/>
        <v>8</v>
      </c>
      <c r="CU416" s="247"/>
      <c r="CV416" s="247"/>
      <c r="CW416" s="247"/>
      <c r="CX416" s="247"/>
      <c r="CY416" s="246"/>
      <c r="CZ416" s="247"/>
      <c r="DA416" s="247"/>
      <c r="DB416" s="247"/>
      <c r="DC416" s="247"/>
      <c r="DD416" s="246"/>
      <c r="DE416" s="247"/>
      <c r="DF416" s="247"/>
      <c r="DG416" s="247"/>
      <c r="DH416" s="247"/>
      <c r="DI416" s="246"/>
      <c r="DJ416" s="247"/>
      <c r="DK416" s="247"/>
      <c r="DL416" s="247"/>
      <c r="DM416" s="247"/>
      <c r="DN416" s="246"/>
      <c r="DO416" s="247"/>
      <c r="DP416" s="247"/>
      <c r="DQ416" s="247"/>
      <c r="DR416" s="247"/>
      <c r="DS416" s="246"/>
    </row>
    <row r="417" hidden="1" outlineLevel="1" spans="2:123">
      <c r="B417" s="434" t="s">
        <v>410</v>
      </c>
      <c r="C417" s="246"/>
      <c r="D417" s="247"/>
      <c r="E417" s="247"/>
      <c r="F417" s="247"/>
      <c r="G417" s="247"/>
      <c r="H417" s="246"/>
      <c r="I417" s="247"/>
      <c r="J417" s="247"/>
      <c r="K417" s="247"/>
      <c r="L417" s="247"/>
      <c r="M417" s="246"/>
      <c r="N417" s="247"/>
      <c r="O417" s="247"/>
      <c r="P417" s="247"/>
      <c r="Q417" s="433">
        <v>0</v>
      </c>
      <c r="R417" s="246">
        <f t="shared" si="1621"/>
        <v>0</v>
      </c>
      <c r="S417" s="433">
        <v>0</v>
      </c>
      <c r="T417" s="433">
        <v>0</v>
      </c>
      <c r="U417" s="433">
        <v>0</v>
      </c>
      <c r="V417" s="433">
        <v>0</v>
      </c>
      <c r="W417" s="246">
        <f t="shared" si="1622"/>
        <v>0</v>
      </c>
      <c r="X417" s="433">
        <v>0</v>
      </c>
      <c r="Y417" s="433">
        <v>0</v>
      </c>
      <c r="Z417" s="433">
        <v>0</v>
      </c>
      <c r="AA417" s="433">
        <v>0</v>
      </c>
      <c r="AB417" s="246">
        <f t="shared" si="1623"/>
        <v>0</v>
      </c>
      <c r="AC417" s="433">
        <v>0</v>
      </c>
      <c r="AD417" s="433">
        <v>0</v>
      </c>
      <c r="AE417" s="433">
        <v>0</v>
      </c>
      <c r="AF417" s="433">
        <v>0</v>
      </c>
      <c r="AG417" s="246">
        <f t="shared" si="1624"/>
        <v>0</v>
      </c>
      <c r="AH417" s="433">
        <v>0</v>
      </c>
      <c r="AI417" s="433">
        <v>0</v>
      </c>
      <c r="AJ417" s="435">
        <v>0</v>
      </c>
      <c r="AK417" s="435">
        <v>0</v>
      </c>
      <c r="AL417" s="246">
        <f t="shared" si="1625"/>
        <v>0</v>
      </c>
      <c r="AM417" s="435">
        <v>0</v>
      </c>
      <c r="AN417" s="435">
        <v>0</v>
      </c>
      <c r="AO417" s="435">
        <v>0</v>
      </c>
      <c r="AP417" s="435">
        <v>0</v>
      </c>
      <c r="AQ417" s="246">
        <f t="shared" si="1626"/>
        <v>0</v>
      </c>
      <c r="AR417" s="435">
        <v>0</v>
      </c>
      <c r="AS417" s="435">
        <v>0</v>
      </c>
      <c r="AT417" s="435">
        <v>0</v>
      </c>
      <c r="AU417" s="435">
        <v>0</v>
      </c>
      <c r="AV417" s="246">
        <f t="shared" si="1627"/>
        <v>0</v>
      </c>
      <c r="AW417" s="435">
        <v>0</v>
      </c>
      <c r="AX417" s="435">
        <v>0</v>
      </c>
      <c r="AY417" s="435">
        <v>0</v>
      </c>
      <c r="AZ417" s="435">
        <v>0</v>
      </c>
      <c r="BA417" s="246">
        <f t="shared" si="1628"/>
        <v>0</v>
      </c>
      <c r="BB417" s="435">
        <v>0</v>
      </c>
      <c r="BC417" s="435">
        <v>1</v>
      </c>
      <c r="BD417" s="435">
        <v>2</v>
      </c>
      <c r="BE417" s="435">
        <v>2</v>
      </c>
      <c r="BF417" s="246">
        <f t="shared" si="1629"/>
        <v>2</v>
      </c>
      <c r="BG417" s="435">
        <v>2</v>
      </c>
      <c r="BH417" s="435">
        <v>2</v>
      </c>
      <c r="BI417" s="435">
        <v>2</v>
      </c>
      <c r="BJ417" s="435">
        <v>3</v>
      </c>
      <c r="BK417" s="246">
        <f t="shared" si="1630"/>
        <v>3</v>
      </c>
      <c r="BL417" s="435">
        <v>3</v>
      </c>
      <c r="BM417" s="435">
        <v>3</v>
      </c>
      <c r="BN417" s="435">
        <v>3</v>
      </c>
      <c r="BO417" s="247">
        <v>3</v>
      </c>
      <c r="BP417" s="246">
        <f t="shared" si="1631"/>
        <v>3</v>
      </c>
      <c r="BQ417" s="247">
        <v>3</v>
      </c>
      <c r="BR417" s="247">
        <v>3</v>
      </c>
      <c r="BS417" s="247">
        <v>3</v>
      </c>
      <c r="BT417" s="247">
        <f>5+1</f>
        <v>6</v>
      </c>
      <c r="BU417" s="246">
        <f t="shared" si="1632"/>
        <v>6</v>
      </c>
      <c r="BV417" s="247">
        <f>5+1</f>
        <v>6</v>
      </c>
      <c r="BW417" s="247">
        <f>6+1</f>
        <v>7</v>
      </c>
      <c r="BX417" s="247">
        <f>6+2</f>
        <v>8</v>
      </c>
      <c r="BY417" s="247">
        <f>6+2</f>
        <v>8</v>
      </c>
      <c r="BZ417" s="246">
        <f t="shared" si="1633"/>
        <v>8</v>
      </c>
      <c r="CA417" s="247">
        <f>7+2</f>
        <v>9</v>
      </c>
      <c r="CB417" s="247">
        <f>6+2</f>
        <v>8</v>
      </c>
      <c r="CC417" s="247">
        <f>7+2</f>
        <v>9</v>
      </c>
      <c r="CD417" s="247">
        <f>7+2</f>
        <v>9</v>
      </c>
      <c r="CE417" s="246">
        <f t="shared" si="1634"/>
        <v>9</v>
      </c>
      <c r="CF417" s="247">
        <v>9</v>
      </c>
      <c r="CG417" s="247">
        <f>7+2</f>
        <v>9</v>
      </c>
      <c r="CH417" s="247">
        <f>7+2</f>
        <v>9</v>
      </c>
      <c r="CI417" s="247">
        <f>9+2</f>
        <v>11</v>
      </c>
      <c r="CJ417" s="246">
        <f t="shared" si="1635"/>
        <v>11</v>
      </c>
      <c r="CK417" s="247">
        <v>11</v>
      </c>
      <c r="CL417" s="247">
        <f>9+2</f>
        <v>11</v>
      </c>
      <c r="CM417" s="272">
        <f>9+2</f>
        <v>11</v>
      </c>
      <c r="CN417" s="247">
        <f>9+2</f>
        <v>11</v>
      </c>
      <c r="CO417" s="246">
        <f t="shared" si="1636"/>
        <v>11</v>
      </c>
      <c r="CP417" s="272">
        <v>11</v>
      </c>
      <c r="CQ417" s="247">
        <f>9+2</f>
        <v>11</v>
      </c>
      <c r="CR417" s="247">
        <v>11</v>
      </c>
      <c r="CS417" s="247">
        <f>2+9</f>
        <v>11</v>
      </c>
      <c r="CT417" s="246">
        <f t="shared" si="1637"/>
        <v>11</v>
      </c>
      <c r="CU417" s="247"/>
      <c r="CV417" s="247"/>
      <c r="CW417" s="247"/>
      <c r="CX417" s="247"/>
      <c r="CY417" s="246"/>
      <c r="CZ417" s="247"/>
      <c r="DA417" s="247"/>
      <c r="DB417" s="247"/>
      <c r="DC417" s="247"/>
      <c r="DD417" s="246"/>
      <c r="DE417" s="247"/>
      <c r="DF417" s="247"/>
      <c r="DG417" s="247"/>
      <c r="DH417" s="247"/>
      <c r="DI417" s="246"/>
      <c r="DJ417" s="247"/>
      <c r="DK417" s="247"/>
      <c r="DL417" s="247"/>
      <c r="DM417" s="247"/>
      <c r="DN417" s="246"/>
      <c r="DO417" s="247"/>
      <c r="DP417" s="247"/>
      <c r="DQ417" s="247"/>
      <c r="DR417" s="247"/>
      <c r="DS417" s="246"/>
    </row>
    <row r="418" hidden="1" outlineLevel="1" spans="2:123">
      <c r="B418" s="434" t="s">
        <v>58</v>
      </c>
      <c r="C418" s="246"/>
      <c r="D418" s="247"/>
      <c r="E418" s="247"/>
      <c r="F418" s="247"/>
      <c r="G418" s="247"/>
      <c r="H418" s="246"/>
      <c r="I418" s="247"/>
      <c r="J418" s="247"/>
      <c r="K418" s="247"/>
      <c r="L418" s="247"/>
      <c r="M418" s="246"/>
      <c r="N418" s="247"/>
      <c r="O418" s="247"/>
      <c r="P418" s="247"/>
      <c r="Q418" s="433">
        <v>0</v>
      </c>
      <c r="R418" s="246">
        <f t="shared" si="1621"/>
        <v>0</v>
      </c>
      <c r="S418" s="433">
        <v>0</v>
      </c>
      <c r="T418" s="433">
        <v>0</v>
      </c>
      <c r="U418" s="433">
        <v>0</v>
      </c>
      <c r="V418" s="433">
        <v>0</v>
      </c>
      <c r="W418" s="246">
        <f t="shared" si="1622"/>
        <v>0</v>
      </c>
      <c r="X418" s="433">
        <v>0</v>
      </c>
      <c r="Y418" s="433">
        <v>0</v>
      </c>
      <c r="Z418" s="433">
        <v>0</v>
      </c>
      <c r="AA418" s="433">
        <v>0</v>
      </c>
      <c r="AB418" s="246">
        <f t="shared" si="1623"/>
        <v>0</v>
      </c>
      <c r="AC418" s="433">
        <v>0</v>
      </c>
      <c r="AD418" s="433">
        <v>0</v>
      </c>
      <c r="AE418" s="433">
        <v>0</v>
      </c>
      <c r="AF418" s="433">
        <v>0</v>
      </c>
      <c r="AG418" s="246">
        <f t="shared" si="1624"/>
        <v>0</v>
      </c>
      <c r="AH418" s="433">
        <v>0</v>
      </c>
      <c r="AI418" s="433">
        <v>0</v>
      </c>
      <c r="AJ418" s="435">
        <v>0</v>
      </c>
      <c r="AK418" s="435">
        <v>0</v>
      </c>
      <c r="AL418" s="246">
        <f t="shared" si="1625"/>
        <v>0</v>
      </c>
      <c r="AM418" s="435">
        <v>0</v>
      </c>
      <c r="AN418" s="435">
        <v>0</v>
      </c>
      <c r="AO418" s="435">
        <v>0</v>
      </c>
      <c r="AP418" s="435">
        <v>0</v>
      </c>
      <c r="AQ418" s="246">
        <f t="shared" si="1626"/>
        <v>0</v>
      </c>
      <c r="AR418" s="435">
        <v>0</v>
      </c>
      <c r="AS418" s="435">
        <v>0</v>
      </c>
      <c r="AT418" s="435">
        <v>0</v>
      </c>
      <c r="AU418" s="435">
        <v>0</v>
      </c>
      <c r="AV418" s="246">
        <f t="shared" si="1627"/>
        <v>0</v>
      </c>
      <c r="AW418" s="435">
        <v>0</v>
      </c>
      <c r="AX418" s="435">
        <v>0</v>
      </c>
      <c r="AY418" s="435">
        <v>0</v>
      </c>
      <c r="AZ418" s="435">
        <v>0</v>
      </c>
      <c r="BA418" s="246">
        <f t="shared" si="1628"/>
        <v>0</v>
      </c>
      <c r="BB418" s="435">
        <v>0</v>
      </c>
      <c r="BC418" s="435">
        <v>0</v>
      </c>
      <c r="BD418" s="435">
        <v>0</v>
      </c>
      <c r="BE418" s="435">
        <v>0</v>
      </c>
      <c r="BF418" s="246">
        <f t="shared" si="1629"/>
        <v>0</v>
      </c>
      <c r="BG418" s="435">
        <v>0</v>
      </c>
      <c r="BH418" s="435">
        <v>0</v>
      </c>
      <c r="BI418" s="435">
        <v>0</v>
      </c>
      <c r="BJ418" s="435">
        <v>3</v>
      </c>
      <c r="BK418" s="246">
        <f t="shared" si="1630"/>
        <v>3</v>
      </c>
      <c r="BL418" s="435">
        <v>4</v>
      </c>
      <c r="BM418" s="435">
        <v>5</v>
      </c>
      <c r="BN418" s="435">
        <v>6</v>
      </c>
      <c r="BO418" s="247">
        <f>15-BO417-BO424</f>
        <v>11</v>
      </c>
      <c r="BP418" s="246">
        <f t="shared" si="1631"/>
        <v>11</v>
      </c>
      <c r="BQ418" s="247">
        <f>16-BQ417-BQ424</f>
        <v>12</v>
      </c>
      <c r="BR418" s="247">
        <f>16-BR417-BR424</f>
        <v>12</v>
      </c>
      <c r="BS418" s="247">
        <f>17-BS417-BS424</f>
        <v>13</v>
      </c>
      <c r="BT418" s="247">
        <f>22-BT417-BT424</f>
        <v>15</v>
      </c>
      <c r="BU418" s="246">
        <f t="shared" si="1632"/>
        <v>15</v>
      </c>
      <c r="BV418" s="247">
        <f>26-BV417-BV424</f>
        <v>19</v>
      </c>
      <c r="BW418" s="247">
        <f>28-BW417-BW424</f>
        <v>20</v>
      </c>
      <c r="BX418" s="247">
        <f>34-BX417-BX424</f>
        <v>25</v>
      </c>
      <c r="BY418" s="247">
        <f>38-BY417-BY424</f>
        <v>29</v>
      </c>
      <c r="BZ418" s="246">
        <f t="shared" si="1633"/>
        <v>29</v>
      </c>
      <c r="CA418" s="247">
        <f>41-CA417-CA424</f>
        <v>31</v>
      </c>
      <c r="CB418" s="247">
        <f>46-CB417-CB424</f>
        <v>37</v>
      </c>
      <c r="CC418" s="247">
        <f>50-CC417-CC424</f>
        <v>39</v>
      </c>
      <c r="CD418" s="247">
        <f>55-CD417-CD424</f>
        <v>44</v>
      </c>
      <c r="CE418" s="246">
        <f t="shared" si="1634"/>
        <v>44</v>
      </c>
      <c r="CF418" s="247">
        <f>56-CF417-2</f>
        <v>45</v>
      </c>
      <c r="CG418" s="247">
        <f>63-CG417-3</f>
        <v>51</v>
      </c>
      <c r="CH418" s="247">
        <f>71-7-3-2</f>
        <v>59</v>
      </c>
      <c r="CI418" s="247">
        <f>86-9-2-5</f>
        <v>70</v>
      </c>
      <c r="CJ418" s="246">
        <f t="shared" si="1635"/>
        <v>70</v>
      </c>
      <c r="CK418" s="247">
        <v>71</v>
      </c>
      <c r="CL418" s="247">
        <f>96-CL417-CL424</f>
        <v>79</v>
      </c>
      <c r="CM418" s="272">
        <f>105-CM417-CM424</f>
        <v>88</v>
      </c>
      <c r="CN418" s="247">
        <f>117-CN417-CN424</f>
        <v>99</v>
      </c>
      <c r="CO418" s="246">
        <f t="shared" si="1636"/>
        <v>99</v>
      </c>
      <c r="CP418" s="272">
        <v>101</v>
      </c>
      <c r="CQ418" s="247">
        <v>107</v>
      </c>
      <c r="CR418" s="247">
        <v>114</v>
      </c>
      <c r="CS418" s="247">
        <v>127</v>
      </c>
      <c r="CT418" s="246">
        <f t="shared" si="1637"/>
        <v>127</v>
      </c>
      <c r="CU418" s="247"/>
      <c r="CV418" s="247"/>
      <c r="CW418" s="247"/>
      <c r="CX418" s="247"/>
      <c r="CY418" s="246"/>
      <c r="CZ418" s="247"/>
      <c r="DA418" s="247"/>
      <c r="DB418" s="247"/>
      <c r="DC418" s="247"/>
      <c r="DD418" s="246"/>
      <c r="DE418" s="247"/>
      <c r="DF418" s="247"/>
      <c r="DG418" s="247"/>
      <c r="DH418" s="247"/>
      <c r="DI418" s="246"/>
      <c r="DJ418" s="247"/>
      <c r="DK418" s="247"/>
      <c r="DL418" s="247"/>
      <c r="DM418" s="247"/>
      <c r="DN418" s="246"/>
      <c r="DO418" s="247"/>
      <c r="DP418" s="247"/>
      <c r="DQ418" s="247"/>
      <c r="DR418" s="247"/>
      <c r="DS418" s="246"/>
    </row>
    <row r="419" hidden="1" outlineLevel="1" spans="2:123">
      <c r="B419" s="434" t="s">
        <v>411</v>
      </c>
      <c r="C419" s="246"/>
      <c r="D419" s="247"/>
      <c r="E419" s="247"/>
      <c r="F419" s="247"/>
      <c r="G419" s="247"/>
      <c r="H419" s="246"/>
      <c r="I419" s="247"/>
      <c r="J419" s="247"/>
      <c r="K419" s="247"/>
      <c r="L419" s="247"/>
      <c r="M419" s="246"/>
      <c r="N419" s="247"/>
      <c r="O419" s="247"/>
      <c r="P419" s="247"/>
      <c r="Q419" s="433">
        <v>0</v>
      </c>
      <c r="R419" s="246">
        <f t="shared" si="1621"/>
        <v>0</v>
      </c>
      <c r="S419" s="433">
        <v>0</v>
      </c>
      <c r="T419" s="433">
        <v>0</v>
      </c>
      <c r="U419" s="433">
        <v>0</v>
      </c>
      <c r="V419" s="433">
        <v>0</v>
      </c>
      <c r="W419" s="246">
        <f t="shared" si="1622"/>
        <v>0</v>
      </c>
      <c r="X419" s="433">
        <v>0</v>
      </c>
      <c r="Y419" s="433">
        <v>0</v>
      </c>
      <c r="Z419" s="433">
        <v>0</v>
      </c>
      <c r="AA419" s="433">
        <v>0</v>
      </c>
      <c r="AB419" s="246">
        <f t="shared" si="1623"/>
        <v>0</v>
      </c>
      <c r="AC419" s="433">
        <v>0</v>
      </c>
      <c r="AD419" s="433">
        <v>0</v>
      </c>
      <c r="AE419" s="433">
        <v>0</v>
      </c>
      <c r="AF419" s="433">
        <v>0</v>
      </c>
      <c r="AG419" s="246">
        <f t="shared" si="1624"/>
        <v>0</v>
      </c>
      <c r="AH419" s="433">
        <v>0</v>
      </c>
      <c r="AI419" s="433">
        <v>0</v>
      </c>
      <c r="AJ419" s="435">
        <v>0</v>
      </c>
      <c r="AK419" s="435">
        <v>0</v>
      </c>
      <c r="AL419" s="246">
        <f t="shared" si="1625"/>
        <v>0</v>
      </c>
      <c r="AM419" s="435">
        <v>0</v>
      </c>
      <c r="AN419" s="435">
        <v>0</v>
      </c>
      <c r="AO419" s="435">
        <v>0</v>
      </c>
      <c r="AP419" s="435">
        <v>0</v>
      </c>
      <c r="AQ419" s="246">
        <f t="shared" si="1626"/>
        <v>0</v>
      </c>
      <c r="AR419" s="435">
        <v>0</v>
      </c>
      <c r="AS419" s="435">
        <v>0</v>
      </c>
      <c r="AT419" s="435">
        <v>0</v>
      </c>
      <c r="AU419" s="435">
        <v>0</v>
      </c>
      <c r="AV419" s="246">
        <f t="shared" si="1627"/>
        <v>0</v>
      </c>
      <c r="AW419" s="435">
        <v>0</v>
      </c>
      <c r="AX419" s="435">
        <v>0</v>
      </c>
      <c r="AY419" s="435">
        <v>0</v>
      </c>
      <c r="AZ419" s="435">
        <v>0</v>
      </c>
      <c r="BA419" s="246">
        <f t="shared" si="1628"/>
        <v>0</v>
      </c>
      <c r="BB419" s="435">
        <v>0</v>
      </c>
      <c r="BC419" s="435">
        <v>0</v>
      </c>
      <c r="BD419" s="435">
        <v>1</v>
      </c>
      <c r="BE419" s="435">
        <v>1</v>
      </c>
      <c r="BF419" s="246">
        <f t="shared" si="1629"/>
        <v>1</v>
      </c>
      <c r="BG419" s="435">
        <v>1</v>
      </c>
      <c r="BH419" s="435">
        <v>1</v>
      </c>
      <c r="BI419" s="435">
        <v>1</v>
      </c>
      <c r="BJ419" s="435">
        <v>1</v>
      </c>
      <c r="BK419" s="246">
        <f t="shared" si="1630"/>
        <v>1</v>
      </c>
      <c r="BL419" s="435">
        <v>1</v>
      </c>
      <c r="BM419" s="435">
        <v>1</v>
      </c>
      <c r="BN419" s="435">
        <v>2</v>
      </c>
      <c r="BO419" s="247">
        <v>2</v>
      </c>
      <c r="BP419" s="246">
        <f t="shared" si="1631"/>
        <v>2</v>
      </c>
      <c r="BQ419" s="247">
        <v>3</v>
      </c>
      <c r="BR419" s="247">
        <v>4</v>
      </c>
      <c r="BS419" s="247">
        <v>4</v>
      </c>
      <c r="BT419" s="247">
        <v>5</v>
      </c>
      <c r="BU419" s="246">
        <f t="shared" si="1632"/>
        <v>5</v>
      </c>
      <c r="BV419" s="247">
        <v>5</v>
      </c>
      <c r="BW419" s="247">
        <v>5</v>
      </c>
      <c r="BX419" s="247">
        <v>6</v>
      </c>
      <c r="BY419" s="247">
        <v>6</v>
      </c>
      <c r="BZ419" s="246">
        <f t="shared" si="1633"/>
        <v>6</v>
      </c>
      <c r="CA419" s="247">
        <v>6</v>
      </c>
      <c r="CB419" s="247">
        <v>7</v>
      </c>
      <c r="CC419" s="247">
        <v>7</v>
      </c>
      <c r="CD419" s="247">
        <v>7</v>
      </c>
      <c r="CE419" s="246">
        <f t="shared" si="1634"/>
        <v>7</v>
      </c>
      <c r="CF419" s="247">
        <v>7</v>
      </c>
      <c r="CG419" s="247">
        <v>7</v>
      </c>
      <c r="CH419" s="247">
        <v>8</v>
      </c>
      <c r="CI419" s="247">
        <v>9</v>
      </c>
      <c r="CJ419" s="246">
        <f t="shared" si="1635"/>
        <v>9</v>
      </c>
      <c r="CK419" s="247">
        <v>8</v>
      </c>
      <c r="CL419" s="247">
        <v>9</v>
      </c>
      <c r="CM419" s="272">
        <v>10</v>
      </c>
      <c r="CN419" s="247">
        <v>10</v>
      </c>
      <c r="CO419" s="246">
        <f t="shared" si="1636"/>
        <v>10</v>
      </c>
      <c r="CP419" s="272">
        <v>9</v>
      </c>
      <c r="CQ419" s="247">
        <v>9</v>
      </c>
      <c r="CR419" s="247">
        <v>9</v>
      </c>
      <c r="CS419" s="247">
        <v>9</v>
      </c>
      <c r="CT419" s="246">
        <f t="shared" si="1637"/>
        <v>9</v>
      </c>
      <c r="CU419" s="247"/>
      <c r="CV419" s="247"/>
      <c r="CW419" s="247"/>
      <c r="CX419" s="247"/>
      <c r="CY419" s="246"/>
      <c r="CZ419" s="247"/>
      <c r="DA419" s="247"/>
      <c r="DB419" s="247"/>
      <c r="DC419" s="247"/>
      <c r="DD419" s="246"/>
      <c r="DE419" s="247"/>
      <c r="DF419" s="247"/>
      <c r="DG419" s="247"/>
      <c r="DH419" s="247"/>
      <c r="DI419" s="246"/>
      <c r="DJ419" s="247"/>
      <c r="DK419" s="247"/>
      <c r="DL419" s="247"/>
      <c r="DM419" s="247"/>
      <c r="DN419" s="246"/>
      <c r="DO419" s="247"/>
      <c r="DP419" s="247"/>
      <c r="DQ419" s="247"/>
      <c r="DR419" s="247"/>
      <c r="DS419" s="246"/>
    </row>
    <row r="420" hidden="1" outlineLevel="1" spans="2:123">
      <c r="B420" s="434" t="s">
        <v>412</v>
      </c>
      <c r="C420" s="246"/>
      <c r="D420" s="247"/>
      <c r="E420" s="247"/>
      <c r="F420" s="247"/>
      <c r="G420" s="247"/>
      <c r="H420" s="246"/>
      <c r="I420" s="247"/>
      <c r="J420" s="247"/>
      <c r="K420" s="247"/>
      <c r="L420" s="247"/>
      <c r="M420" s="246"/>
      <c r="N420" s="247"/>
      <c r="O420" s="247"/>
      <c r="P420" s="247"/>
      <c r="Q420" s="433">
        <v>0</v>
      </c>
      <c r="R420" s="246">
        <f t="shared" si="1621"/>
        <v>0</v>
      </c>
      <c r="S420" s="433">
        <v>0</v>
      </c>
      <c r="T420" s="433">
        <v>0</v>
      </c>
      <c r="U420" s="433">
        <v>0</v>
      </c>
      <c r="V420" s="433">
        <v>0</v>
      </c>
      <c r="W420" s="246">
        <f t="shared" si="1622"/>
        <v>0</v>
      </c>
      <c r="X420" s="433">
        <v>0</v>
      </c>
      <c r="Y420" s="433">
        <v>0</v>
      </c>
      <c r="Z420" s="433">
        <v>0</v>
      </c>
      <c r="AA420" s="433">
        <v>0</v>
      </c>
      <c r="AB420" s="246">
        <f t="shared" si="1623"/>
        <v>0</v>
      </c>
      <c r="AC420" s="433">
        <v>0</v>
      </c>
      <c r="AD420" s="433">
        <v>0</v>
      </c>
      <c r="AE420" s="433">
        <v>0</v>
      </c>
      <c r="AF420" s="433">
        <v>0</v>
      </c>
      <c r="AG420" s="246">
        <f t="shared" si="1624"/>
        <v>0</v>
      </c>
      <c r="AH420" s="433">
        <v>0</v>
      </c>
      <c r="AI420" s="433">
        <v>0</v>
      </c>
      <c r="AJ420" s="435">
        <v>0</v>
      </c>
      <c r="AK420" s="435">
        <v>0</v>
      </c>
      <c r="AL420" s="246">
        <f t="shared" si="1625"/>
        <v>0</v>
      </c>
      <c r="AM420" s="435">
        <v>0</v>
      </c>
      <c r="AN420" s="435">
        <v>0</v>
      </c>
      <c r="AO420" s="435">
        <v>0</v>
      </c>
      <c r="AP420" s="435">
        <v>0</v>
      </c>
      <c r="AQ420" s="246">
        <f t="shared" si="1626"/>
        <v>0</v>
      </c>
      <c r="AR420" s="435">
        <v>0</v>
      </c>
      <c r="AS420" s="435">
        <v>0</v>
      </c>
      <c r="AT420" s="435">
        <v>0</v>
      </c>
      <c r="AU420" s="435">
        <v>0</v>
      </c>
      <c r="AV420" s="246">
        <f t="shared" si="1627"/>
        <v>0</v>
      </c>
      <c r="AW420" s="435">
        <v>0</v>
      </c>
      <c r="AX420" s="435">
        <v>0</v>
      </c>
      <c r="AY420" s="435">
        <v>0</v>
      </c>
      <c r="AZ420" s="435">
        <v>0</v>
      </c>
      <c r="BA420" s="246">
        <f t="shared" si="1628"/>
        <v>0</v>
      </c>
      <c r="BB420" s="435">
        <v>0</v>
      </c>
      <c r="BC420" s="435">
        <v>0</v>
      </c>
      <c r="BD420" s="435">
        <v>1</v>
      </c>
      <c r="BE420" s="435">
        <v>1</v>
      </c>
      <c r="BF420" s="246">
        <f t="shared" si="1629"/>
        <v>1</v>
      </c>
      <c r="BG420" s="435">
        <v>1</v>
      </c>
      <c r="BH420" s="435">
        <v>1</v>
      </c>
      <c r="BI420" s="435">
        <v>1</v>
      </c>
      <c r="BJ420" s="435">
        <v>1</v>
      </c>
      <c r="BK420" s="246">
        <f t="shared" si="1630"/>
        <v>1</v>
      </c>
      <c r="BL420" s="435">
        <v>1</v>
      </c>
      <c r="BM420" s="435">
        <v>1</v>
      </c>
      <c r="BN420" s="435">
        <v>1</v>
      </c>
      <c r="BO420" s="247">
        <v>1</v>
      </c>
      <c r="BP420" s="246">
        <f t="shared" si="1631"/>
        <v>1</v>
      </c>
      <c r="BQ420" s="247">
        <v>1</v>
      </c>
      <c r="BR420" s="247">
        <v>1</v>
      </c>
      <c r="BS420" s="247">
        <v>1</v>
      </c>
      <c r="BT420" s="247">
        <v>1</v>
      </c>
      <c r="BU420" s="246">
        <f t="shared" si="1632"/>
        <v>1</v>
      </c>
      <c r="BV420" s="247">
        <v>1</v>
      </c>
      <c r="BW420" s="247">
        <v>1</v>
      </c>
      <c r="BX420" s="247">
        <v>0</v>
      </c>
      <c r="BY420" s="247">
        <v>0</v>
      </c>
      <c r="BZ420" s="246">
        <f t="shared" si="1633"/>
        <v>0</v>
      </c>
      <c r="CA420" s="247">
        <v>0</v>
      </c>
      <c r="CB420" s="247">
        <v>0</v>
      </c>
      <c r="CC420" s="247">
        <v>0</v>
      </c>
      <c r="CD420" s="247">
        <v>0</v>
      </c>
      <c r="CE420" s="246">
        <f t="shared" si="1634"/>
        <v>0</v>
      </c>
      <c r="CF420" s="247">
        <v>0</v>
      </c>
      <c r="CG420" s="247">
        <v>0</v>
      </c>
      <c r="CH420" s="247">
        <v>0</v>
      </c>
      <c r="CI420" s="247">
        <v>0</v>
      </c>
      <c r="CJ420" s="246">
        <f t="shared" si="1635"/>
        <v>0</v>
      </c>
      <c r="CK420" s="247">
        <v>0</v>
      </c>
      <c r="CL420" s="247">
        <v>0</v>
      </c>
      <c r="CM420" s="272">
        <v>0</v>
      </c>
      <c r="CN420" s="247">
        <v>0</v>
      </c>
      <c r="CO420" s="246">
        <f t="shared" si="1636"/>
        <v>0</v>
      </c>
      <c r="CP420" s="272">
        <v>0</v>
      </c>
      <c r="CQ420" s="247">
        <v>0</v>
      </c>
      <c r="CR420" s="247">
        <v>0</v>
      </c>
      <c r="CS420" s="247">
        <v>0</v>
      </c>
      <c r="CT420" s="246">
        <f t="shared" si="1637"/>
        <v>0</v>
      </c>
      <c r="CU420" s="247"/>
      <c r="CV420" s="247"/>
      <c r="CW420" s="247"/>
      <c r="CX420" s="247"/>
      <c r="CY420" s="246"/>
      <c r="CZ420" s="247"/>
      <c r="DA420" s="247"/>
      <c r="DB420" s="247"/>
      <c r="DC420" s="247"/>
      <c r="DD420" s="246"/>
      <c r="DE420" s="247"/>
      <c r="DF420" s="247"/>
      <c r="DG420" s="247"/>
      <c r="DH420" s="247"/>
      <c r="DI420" s="246"/>
      <c r="DJ420" s="247"/>
      <c r="DK420" s="247"/>
      <c r="DL420" s="247"/>
      <c r="DM420" s="247"/>
      <c r="DN420" s="246"/>
      <c r="DO420" s="247"/>
      <c r="DP420" s="247"/>
      <c r="DQ420" s="247"/>
      <c r="DR420" s="247"/>
      <c r="DS420" s="246"/>
    </row>
    <row r="421" hidden="1" outlineLevel="1" spans="2:123">
      <c r="B421" s="434" t="s">
        <v>413</v>
      </c>
      <c r="C421" s="246"/>
      <c r="D421" s="247"/>
      <c r="E421" s="247"/>
      <c r="F421" s="247"/>
      <c r="G421" s="247"/>
      <c r="H421" s="246"/>
      <c r="I421" s="247"/>
      <c r="J421" s="247"/>
      <c r="K421" s="247"/>
      <c r="L421" s="247"/>
      <c r="M421" s="246"/>
      <c r="N421" s="247"/>
      <c r="O421" s="247"/>
      <c r="P421" s="247"/>
      <c r="Q421" s="433">
        <v>0</v>
      </c>
      <c r="R421" s="246">
        <f t="shared" si="1621"/>
        <v>0</v>
      </c>
      <c r="S421" s="433">
        <v>0</v>
      </c>
      <c r="T421" s="433">
        <v>0</v>
      </c>
      <c r="U421" s="433">
        <v>0</v>
      </c>
      <c r="V421" s="433">
        <v>0</v>
      </c>
      <c r="W421" s="246">
        <f t="shared" si="1622"/>
        <v>0</v>
      </c>
      <c r="X421" s="433">
        <v>0</v>
      </c>
      <c r="Y421" s="433">
        <v>0</v>
      </c>
      <c r="Z421" s="433">
        <v>0</v>
      </c>
      <c r="AA421" s="433">
        <v>0</v>
      </c>
      <c r="AB421" s="246">
        <f t="shared" si="1623"/>
        <v>0</v>
      </c>
      <c r="AC421" s="433">
        <v>0</v>
      </c>
      <c r="AD421" s="433">
        <v>0</v>
      </c>
      <c r="AE421" s="433">
        <v>0</v>
      </c>
      <c r="AF421" s="433">
        <v>0</v>
      </c>
      <c r="AG421" s="246">
        <f t="shared" si="1624"/>
        <v>0</v>
      </c>
      <c r="AH421" s="433">
        <v>0</v>
      </c>
      <c r="AI421" s="433">
        <v>0</v>
      </c>
      <c r="AJ421" s="435">
        <v>0</v>
      </c>
      <c r="AK421" s="435">
        <v>0</v>
      </c>
      <c r="AL421" s="246">
        <f t="shared" si="1625"/>
        <v>0</v>
      </c>
      <c r="AM421" s="435">
        <v>0</v>
      </c>
      <c r="AN421" s="435">
        <v>0</v>
      </c>
      <c r="AO421" s="435">
        <v>0</v>
      </c>
      <c r="AP421" s="435">
        <v>0</v>
      </c>
      <c r="AQ421" s="246">
        <f t="shared" si="1626"/>
        <v>0</v>
      </c>
      <c r="AR421" s="435">
        <v>0</v>
      </c>
      <c r="AS421" s="435">
        <v>0</v>
      </c>
      <c r="AT421" s="435">
        <v>0</v>
      </c>
      <c r="AU421" s="435">
        <v>0</v>
      </c>
      <c r="AV421" s="246">
        <f t="shared" si="1627"/>
        <v>0</v>
      </c>
      <c r="AW421" s="435">
        <v>0</v>
      </c>
      <c r="AX421" s="435">
        <v>0</v>
      </c>
      <c r="AY421" s="435">
        <v>0</v>
      </c>
      <c r="AZ421" s="435">
        <v>0</v>
      </c>
      <c r="BA421" s="246">
        <f t="shared" si="1628"/>
        <v>0</v>
      </c>
      <c r="BB421" s="435">
        <v>0</v>
      </c>
      <c r="BC421" s="435">
        <v>0</v>
      </c>
      <c r="BD421" s="435">
        <v>0</v>
      </c>
      <c r="BE421" s="435">
        <v>0</v>
      </c>
      <c r="BF421" s="246">
        <f t="shared" si="1629"/>
        <v>0</v>
      </c>
      <c r="BG421" s="435">
        <v>0</v>
      </c>
      <c r="BH421" s="435">
        <v>1</v>
      </c>
      <c r="BI421" s="435">
        <v>2</v>
      </c>
      <c r="BJ421" s="435">
        <v>2</v>
      </c>
      <c r="BK421" s="246">
        <f t="shared" si="1630"/>
        <v>2</v>
      </c>
      <c r="BL421" s="435">
        <v>2</v>
      </c>
      <c r="BM421" s="435">
        <v>3</v>
      </c>
      <c r="BN421" s="435">
        <v>3</v>
      </c>
      <c r="BO421" s="247">
        <v>3</v>
      </c>
      <c r="BP421" s="246">
        <f t="shared" si="1631"/>
        <v>3</v>
      </c>
      <c r="BQ421" s="247">
        <v>4</v>
      </c>
      <c r="BR421" s="247">
        <v>4</v>
      </c>
      <c r="BS421" s="247">
        <v>4</v>
      </c>
      <c r="BT421" s="247">
        <v>4</v>
      </c>
      <c r="BU421" s="246">
        <f t="shared" si="1632"/>
        <v>4</v>
      </c>
      <c r="BV421" s="247">
        <v>5</v>
      </c>
      <c r="BW421" s="247">
        <v>5</v>
      </c>
      <c r="BX421" s="247">
        <v>5</v>
      </c>
      <c r="BY421" s="247">
        <v>5</v>
      </c>
      <c r="BZ421" s="246">
        <f t="shared" si="1633"/>
        <v>5</v>
      </c>
      <c r="CA421" s="247">
        <v>6</v>
      </c>
      <c r="CB421" s="247">
        <v>7</v>
      </c>
      <c r="CC421" s="247">
        <v>7</v>
      </c>
      <c r="CD421" s="247">
        <v>7</v>
      </c>
      <c r="CE421" s="246">
        <f t="shared" si="1634"/>
        <v>7</v>
      </c>
      <c r="CF421" s="247">
        <v>9</v>
      </c>
      <c r="CG421" s="247">
        <v>9</v>
      </c>
      <c r="CH421" s="247">
        <v>12</v>
      </c>
      <c r="CI421" s="247">
        <v>12</v>
      </c>
      <c r="CJ421" s="246">
        <f t="shared" si="1635"/>
        <v>12</v>
      </c>
      <c r="CK421" s="247">
        <v>13</v>
      </c>
      <c r="CL421" s="247">
        <v>14</v>
      </c>
      <c r="CM421" s="272">
        <v>16</v>
      </c>
      <c r="CN421" s="247">
        <v>16</v>
      </c>
      <c r="CO421" s="246">
        <f t="shared" si="1636"/>
        <v>16</v>
      </c>
      <c r="CP421" s="272">
        <v>16</v>
      </c>
      <c r="CQ421" s="247">
        <v>17</v>
      </c>
      <c r="CR421" s="247">
        <v>18</v>
      </c>
      <c r="CS421" s="247">
        <v>19</v>
      </c>
      <c r="CT421" s="246">
        <f t="shared" si="1637"/>
        <v>19</v>
      </c>
      <c r="CU421" s="247"/>
      <c r="CV421" s="247"/>
      <c r="CW421" s="247"/>
      <c r="CX421" s="247"/>
      <c r="CY421" s="246"/>
      <c r="CZ421" s="247"/>
      <c r="DA421" s="247"/>
      <c r="DB421" s="247"/>
      <c r="DC421" s="247"/>
      <c r="DD421" s="246"/>
      <c r="DE421" s="247"/>
      <c r="DF421" s="247"/>
      <c r="DG421" s="247"/>
      <c r="DH421" s="247"/>
      <c r="DI421" s="246"/>
      <c r="DJ421" s="247"/>
      <c r="DK421" s="247"/>
      <c r="DL421" s="247"/>
      <c r="DM421" s="247"/>
      <c r="DN421" s="246"/>
      <c r="DO421" s="247"/>
      <c r="DP421" s="247"/>
      <c r="DQ421" s="247"/>
      <c r="DR421" s="247"/>
      <c r="DS421" s="246"/>
    </row>
    <row r="422" hidden="1" outlineLevel="1" spans="2:123">
      <c r="B422" s="434" t="s">
        <v>414</v>
      </c>
      <c r="C422" s="246"/>
      <c r="D422" s="247"/>
      <c r="E422" s="247"/>
      <c r="F422" s="247"/>
      <c r="G422" s="247"/>
      <c r="H422" s="246"/>
      <c r="I422" s="247"/>
      <c r="J422" s="247"/>
      <c r="K422" s="247"/>
      <c r="L422" s="247"/>
      <c r="M422" s="246"/>
      <c r="N422" s="247"/>
      <c r="O422" s="247"/>
      <c r="P422" s="247"/>
      <c r="Q422" s="433">
        <v>0</v>
      </c>
      <c r="R422" s="246">
        <f t="shared" si="1621"/>
        <v>0</v>
      </c>
      <c r="S422" s="433">
        <v>0</v>
      </c>
      <c r="T422" s="433">
        <v>0</v>
      </c>
      <c r="U422" s="433">
        <v>0</v>
      </c>
      <c r="V422" s="433">
        <v>0</v>
      </c>
      <c r="W422" s="246">
        <f t="shared" si="1622"/>
        <v>0</v>
      </c>
      <c r="X422" s="433">
        <v>0</v>
      </c>
      <c r="Y422" s="433">
        <v>0</v>
      </c>
      <c r="Z422" s="433">
        <v>0</v>
      </c>
      <c r="AA422" s="433">
        <v>0</v>
      </c>
      <c r="AB422" s="246">
        <f t="shared" si="1623"/>
        <v>0</v>
      </c>
      <c r="AC422" s="433">
        <v>0</v>
      </c>
      <c r="AD422" s="433">
        <v>0</v>
      </c>
      <c r="AE422" s="433">
        <v>0</v>
      </c>
      <c r="AF422" s="433">
        <v>0</v>
      </c>
      <c r="AG422" s="246">
        <f t="shared" si="1624"/>
        <v>0</v>
      </c>
      <c r="AH422" s="433">
        <v>0</v>
      </c>
      <c r="AI422" s="433">
        <v>0</v>
      </c>
      <c r="AJ422" s="435">
        <v>0</v>
      </c>
      <c r="AK422" s="435">
        <v>0</v>
      </c>
      <c r="AL422" s="246">
        <f t="shared" si="1625"/>
        <v>0</v>
      </c>
      <c r="AM422" s="435">
        <v>0</v>
      </c>
      <c r="AN422" s="435">
        <v>0</v>
      </c>
      <c r="AO422" s="435">
        <v>0</v>
      </c>
      <c r="AP422" s="435">
        <v>0</v>
      </c>
      <c r="AQ422" s="246">
        <f t="shared" si="1626"/>
        <v>0</v>
      </c>
      <c r="AR422" s="435">
        <v>0</v>
      </c>
      <c r="AS422" s="435">
        <v>0</v>
      </c>
      <c r="AT422" s="435">
        <v>0</v>
      </c>
      <c r="AU422" s="435">
        <v>0</v>
      </c>
      <c r="AV422" s="246">
        <f t="shared" si="1627"/>
        <v>0</v>
      </c>
      <c r="AW422" s="435">
        <v>0</v>
      </c>
      <c r="AX422" s="435">
        <v>0</v>
      </c>
      <c r="AY422" s="435">
        <v>0</v>
      </c>
      <c r="AZ422" s="435">
        <v>0</v>
      </c>
      <c r="BA422" s="246">
        <f t="shared" si="1628"/>
        <v>0</v>
      </c>
      <c r="BB422" s="435">
        <v>0</v>
      </c>
      <c r="BC422" s="435">
        <v>0</v>
      </c>
      <c r="BD422" s="435">
        <v>0</v>
      </c>
      <c r="BE422" s="435">
        <v>0</v>
      </c>
      <c r="BF422" s="246">
        <f t="shared" si="1629"/>
        <v>0</v>
      </c>
      <c r="BG422" s="435">
        <v>0</v>
      </c>
      <c r="BH422" s="435">
        <v>1</v>
      </c>
      <c r="BI422" s="435">
        <v>1</v>
      </c>
      <c r="BJ422" s="435">
        <v>1</v>
      </c>
      <c r="BK422" s="246">
        <f t="shared" si="1630"/>
        <v>1</v>
      </c>
      <c r="BL422" s="435">
        <v>1</v>
      </c>
      <c r="BM422" s="435">
        <v>1</v>
      </c>
      <c r="BN422" s="435">
        <v>1</v>
      </c>
      <c r="BO422" s="247">
        <v>1</v>
      </c>
      <c r="BP422" s="246">
        <f t="shared" si="1631"/>
        <v>1</v>
      </c>
      <c r="BQ422" s="247">
        <v>1</v>
      </c>
      <c r="BR422" s="247">
        <v>1</v>
      </c>
      <c r="BS422" s="247">
        <v>1</v>
      </c>
      <c r="BT422" s="247">
        <v>1</v>
      </c>
      <c r="BU422" s="246">
        <f t="shared" si="1632"/>
        <v>1</v>
      </c>
      <c r="BV422" s="247">
        <v>1</v>
      </c>
      <c r="BW422" s="247">
        <v>1</v>
      </c>
      <c r="BX422" s="247">
        <v>1</v>
      </c>
      <c r="BY422" s="247">
        <v>1</v>
      </c>
      <c r="BZ422" s="246">
        <f t="shared" si="1633"/>
        <v>1</v>
      </c>
      <c r="CA422" s="247">
        <v>1</v>
      </c>
      <c r="CB422" s="247">
        <v>1</v>
      </c>
      <c r="CC422" s="247">
        <v>1</v>
      </c>
      <c r="CD422" s="247">
        <v>1</v>
      </c>
      <c r="CE422" s="246">
        <f t="shared" si="1634"/>
        <v>1</v>
      </c>
      <c r="CF422" s="247">
        <v>1</v>
      </c>
      <c r="CG422" s="247">
        <v>1</v>
      </c>
      <c r="CH422" s="247">
        <v>1</v>
      </c>
      <c r="CI422" s="247">
        <v>1</v>
      </c>
      <c r="CJ422" s="246">
        <f t="shared" si="1635"/>
        <v>1</v>
      </c>
      <c r="CK422" s="247">
        <v>1</v>
      </c>
      <c r="CL422" s="247">
        <v>1</v>
      </c>
      <c r="CM422" s="272">
        <v>1</v>
      </c>
      <c r="CN422" s="247">
        <v>1</v>
      </c>
      <c r="CO422" s="246">
        <f t="shared" si="1636"/>
        <v>1</v>
      </c>
      <c r="CP422" s="272">
        <v>1</v>
      </c>
      <c r="CQ422" s="247">
        <v>1</v>
      </c>
      <c r="CR422" s="247">
        <v>1</v>
      </c>
      <c r="CS422" s="247">
        <v>1</v>
      </c>
      <c r="CT422" s="246">
        <f t="shared" si="1637"/>
        <v>1</v>
      </c>
      <c r="CU422" s="247"/>
      <c r="CV422" s="247"/>
      <c r="CW422" s="247"/>
      <c r="CX422" s="247"/>
      <c r="CY422" s="246"/>
      <c r="CZ422" s="247"/>
      <c r="DA422" s="247"/>
      <c r="DB422" s="247"/>
      <c r="DC422" s="247"/>
      <c r="DD422" s="246"/>
      <c r="DE422" s="247"/>
      <c r="DF422" s="247"/>
      <c r="DG422" s="247"/>
      <c r="DH422" s="247"/>
      <c r="DI422" s="246"/>
      <c r="DJ422" s="247"/>
      <c r="DK422" s="247"/>
      <c r="DL422" s="247"/>
      <c r="DM422" s="247"/>
      <c r="DN422" s="246"/>
      <c r="DO422" s="247"/>
      <c r="DP422" s="247"/>
      <c r="DQ422" s="247"/>
      <c r="DR422" s="247"/>
      <c r="DS422" s="246"/>
    </row>
    <row r="423" hidden="1" outlineLevel="1" spans="2:123">
      <c r="B423" s="434" t="s">
        <v>415</v>
      </c>
      <c r="C423" s="246"/>
      <c r="D423" s="247"/>
      <c r="E423" s="247"/>
      <c r="F423" s="247"/>
      <c r="G423" s="247"/>
      <c r="H423" s="246"/>
      <c r="I423" s="247"/>
      <c r="J423" s="247"/>
      <c r="K423" s="247"/>
      <c r="L423" s="247"/>
      <c r="M423" s="246"/>
      <c r="N423" s="247"/>
      <c r="O423" s="247"/>
      <c r="P423" s="247"/>
      <c r="Q423" s="435">
        <v>0</v>
      </c>
      <c r="R423" s="246">
        <f t="shared" si="1621"/>
        <v>0</v>
      </c>
      <c r="S423" s="435">
        <v>0</v>
      </c>
      <c r="T423" s="435">
        <v>0</v>
      </c>
      <c r="U423" s="435">
        <v>0</v>
      </c>
      <c r="V423" s="435">
        <v>0</v>
      </c>
      <c r="W423" s="246">
        <f t="shared" si="1622"/>
        <v>0</v>
      </c>
      <c r="X423" s="435">
        <v>0</v>
      </c>
      <c r="Y423" s="435">
        <v>0</v>
      </c>
      <c r="Z423" s="435">
        <v>0</v>
      </c>
      <c r="AA423" s="435">
        <v>0</v>
      </c>
      <c r="AB423" s="246">
        <f t="shared" si="1623"/>
        <v>0</v>
      </c>
      <c r="AC423" s="435">
        <v>0</v>
      </c>
      <c r="AD423" s="435">
        <v>0</v>
      </c>
      <c r="AE423" s="435">
        <v>0</v>
      </c>
      <c r="AF423" s="435">
        <v>0</v>
      </c>
      <c r="AG423" s="246">
        <f t="shared" si="1624"/>
        <v>0</v>
      </c>
      <c r="AH423" s="435">
        <v>0</v>
      </c>
      <c r="AI423" s="435">
        <v>0</v>
      </c>
      <c r="AJ423" s="435">
        <v>0</v>
      </c>
      <c r="AK423" s="435">
        <v>0</v>
      </c>
      <c r="AL423" s="246">
        <f t="shared" si="1625"/>
        <v>0</v>
      </c>
      <c r="AM423" s="435">
        <v>0</v>
      </c>
      <c r="AN423" s="435">
        <v>0</v>
      </c>
      <c r="AO423" s="435">
        <v>0</v>
      </c>
      <c r="AP423" s="435">
        <v>0</v>
      </c>
      <c r="AQ423" s="246">
        <f t="shared" si="1626"/>
        <v>0</v>
      </c>
      <c r="AR423" s="435">
        <v>0</v>
      </c>
      <c r="AS423" s="435">
        <v>0</v>
      </c>
      <c r="AT423" s="435">
        <v>0</v>
      </c>
      <c r="AU423" s="435">
        <v>0</v>
      </c>
      <c r="AV423" s="246">
        <f t="shared" si="1627"/>
        <v>0</v>
      </c>
      <c r="AW423" s="435">
        <v>0</v>
      </c>
      <c r="AX423" s="435">
        <v>0</v>
      </c>
      <c r="AY423" s="435">
        <v>0</v>
      </c>
      <c r="AZ423" s="435">
        <v>0</v>
      </c>
      <c r="BA423" s="246">
        <f t="shared" si="1628"/>
        <v>0</v>
      </c>
      <c r="BB423" s="435">
        <v>0</v>
      </c>
      <c r="BC423" s="435">
        <v>0</v>
      </c>
      <c r="BD423" s="435">
        <v>0</v>
      </c>
      <c r="BE423" s="435">
        <v>0</v>
      </c>
      <c r="BF423" s="246">
        <f t="shared" si="1629"/>
        <v>0</v>
      </c>
      <c r="BG423" s="435">
        <v>0</v>
      </c>
      <c r="BH423" s="435">
        <v>0</v>
      </c>
      <c r="BI423" s="435">
        <v>0</v>
      </c>
      <c r="BJ423" s="435">
        <v>0</v>
      </c>
      <c r="BK423" s="246">
        <f t="shared" si="1630"/>
        <v>0</v>
      </c>
      <c r="BL423" s="435">
        <v>1</v>
      </c>
      <c r="BM423" s="435">
        <v>1</v>
      </c>
      <c r="BN423" s="435">
        <v>1</v>
      </c>
      <c r="BO423" s="247">
        <v>1</v>
      </c>
      <c r="BP423" s="246">
        <f t="shared" si="1631"/>
        <v>1</v>
      </c>
      <c r="BQ423" s="247">
        <v>1</v>
      </c>
      <c r="BR423" s="247">
        <v>1</v>
      </c>
      <c r="BS423" s="247">
        <v>1</v>
      </c>
      <c r="BT423" s="247">
        <v>1</v>
      </c>
      <c r="BU423" s="246">
        <f t="shared" si="1632"/>
        <v>1</v>
      </c>
      <c r="BV423" s="247">
        <v>1</v>
      </c>
      <c r="BW423" s="247">
        <v>1</v>
      </c>
      <c r="BX423" s="247">
        <v>1</v>
      </c>
      <c r="BY423" s="247">
        <v>1</v>
      </c>
      <c r="BZ423" s="246">
        <f t="shared" si="1633"/>
        <v>1</v>
      </c>
      <c r="CA423" s="247">
        <v>1</v>
      </c>
      <c r="CB423" s="247">
        <v>1</v>
      </c>
      <c r="CC423" s="247">
        <v>1</v>
      </c>
      <c r="CD423" s="247">
        <v>1</v>
      </c>
      <c r="CE423" s="246">
        <f t="shared" si="1634"/>
        <v>1</v>
      </c>
      <c r="CF423" s="247">
        <v>1</v>
      </c>
      <c r="CG423" s="247">
        <v>2</v>
      </c>
      <c r="CH423" s="247">
        <v>2</v>
      </c>
      <c r="CI423" s="247">
        <v>3</v>
      </c>
      <c r="CJ423" s="246">
        <f t="shared" si="1635"/>
        <v>3</v>
      </c>
      <c r="CK423" s="247">
        <v>4</v>
      </c>
      <c r="CL423" s="247">
        <v>4</v>
      </c>
      <c r="CM423" s="272">
        <v>4</v>
      </c>
      <c r="CN423" s="247">
        <v>4</v>
      </c>
      <c r="CO423" s="246">
        <f t="shared" si="1636"/>
        <v>4</v>
      </c>
      <c r="CP423" s="272">
        <v>4</v>
      </c>
      <c r="CQ423" s="247">
        <v>4</v>
      </c>
      <c r="CR423" s="247">
        <v>4</v>
      </c>
      <c r="CS423" s="247">
        <v>4</v>
      </c>
      <c r="CT423" s="246">
        <f t="shared" si="1637"/>
        <v>4</v>
      </c>
      <c r="CU423" s="247"/>
      <c r="CV423" s="247"/>
      <c r="CW423" s="247"/>
      <c r="CX423" s="247"/>
      <c r="CY423" s="246"/>
      <c r="CZ423" s="247"/>
      <c r="DA423" s="247"/>
      <c r="DB423" s="247"/>
      <c r="DC423" s="247"/>
      <c r="DD423" s="246"/>
      <c r="DE423" s="247"/>
      <c r="DF423" s="247"/>
      <c r="DG423" s="247"/>
      <c r="DH423" s="247"/>
      <c r="DI423" s="246"/>
      <c r="DJ423" s="247"/>
      <c r="DK423" s="247"/>
      <c r="DL423" s="247"/>
      <c r="DM423" s="247"/>
      <c r="DN423" s="246"/>
      <c r="DO423" s="247"/>
      <c r="DP423" s="247"/>
      <c r="DQ423" s="247"/>
      <c r="DR423" s="247"/>
      <c r="DS423" s="246"/>
    </row>
    <row r="424" hidden="1" outlineLevel="1" spans="2:123">
      <c r="B424" s="434" t="s">
        <v>416</v>
      </c>
      <c r="C424" s="246"/>
      <c r="D424" s="247"/>
      <c r="E424" s="247"/>
      <c r="F424" s="247"/>
      <c r="G424" s="247"/>
      <c r="H424" s="246"/>
      <c r="I424" s="247"/>
      <c r="J424" s="247"/>
      <c r="K424" s="247"/>
      <c r="L424" s="247"/>
      <c r="M424" s="246"/>
      <c r="N424" s="247"/>
      <c r="O424" s="247"/>
      <c r="P424" s="247"/>
      <c r="Q424" s="435">
        <v>0</v>
      </c>
      <c r="R424" s="246">
        <f t="shared" si="1621"/>
        <v>0</v>
      </c>
      <c r="S424" s="435">
        <v>0</v>
      </c>
      <c r="T424" s="435">
        <v>0</v>
      </c>
      <c r="U424" s="435">
        <v>0</v>
      </c>
      <c r="V424" s="435">
        <v>0</v>
      </c>
      <c r="W424" s="246">
        <f t="shared" si="1622"/>
        <v>0</v>
      </c>
      <c r="X424" s="435">
        <v>0</v>
      </c>
      <c r="Y424" s="435">
        <v>0</v>
      </c>
      <c r="Z424" s="435">
        <v>0</v>
      </c>
      <c r="AA424" s="435">
        <v>0</v>
      </c>
      <c r="AB424" s="246">
        <f t="shared" si="1623"/>
        <v>0</v>
      </c>
      <c r="AC424" s="435">
        <v>0</v>
      </c>
      <c r="AD424" s="435">
        <v>0</v>
      </c>
      <c r="AE424" s="435">
        <v>0</v>
      </c>
      <c r="AF424" s="435">
        <v>0</v>
      </c>
      <c r="AG424" s="246">
        <f t="shared" si="1624"/>
        <v>0</v>
      </c>
      <c r="AH424" s="435">
        <v>0</v>
      </c>
      <c r="AI424" s="435">
        <v>0</v>
      </c>
      <c r="AJ424" s="435">
        <v>0</v>
      </c>
      <c r="AK424" s="435">
        <v>0</v>
      </c>
      <c r="AL424" s="246">
        <f t="shared" si="1625"/>
        <v>0</v>
      </c>
      <c r="AM424" s="435">
        <v>0</v>
      </c>
      <c r="AN424" s="435">
        <v>0</v>
      </c>
      <c r="AO424" s="435">
        <v>0</v>
      </c>
      <c r="AP424" s="435">
        <v>0</v>
      </c>
      <c r="AQ424" s="246">
        <f t="shared" si="1626"/>
        <v>0</v>
      </c>
      <c r="AR424" s="435">
        <v>0</v>
      </c>
      <c r="AS424" s="435">
        <v>0</v>
      </c>
      <c r="AT424" s="435">
        <v>0</v>
      </c>
      <c r="AU424" s="435">
        <v>0</v>
      </c>
      <c r="AV424" s="246">
        <f t="shared" si="1627"/>
        <v>0</v>
      </c>
      <c r="AW424" s="435">
        <v>0</v>
      </c>
      <c r="AX424" s="435">
        <v>0</v>
      </c>
      <c r="AY424" s="435">
        <v>0</v>
      </c>
      <c r="AZ424" s="435">
        <v>0</v>
      </c>
      <c r="BA424" s="246">
        <f t="shared" si="1628"/>
        <v>0</v>
      </c>
      <c r="BB424" s="435">
        <v>0</v>
      </c>
      <c r="BC424" s="435">
        <v>0</v>
      </c>
      <c r="BD424" s="435">
        <v>0</v>
      </c>
      <c r="BE424" s="435">
        <v>0</v>
      </c>
      <c r="BF424" s="246">
        <f t="shared" si="1629"/>
        <v>0</v>
      </c>
      <c r="BG424" s="435">
        <v>0</v>
      </c>
      <c r="BH424" s="435">
        <v>0</v>
      </c>
      <c r="BI424" s="435">
        <v>0</v>
      </c>
      <c r="BJ424" s="435">
        <v>0</v>
      </c>
      <c r="BK424" s="246">
        <f t="shared" si="1630"/>
        <v>0</v>
      </c>
      <c r="BL424" s="435">
        <v>0</v>
      </c>
      <c r="BM424" s="435">
        <v>0</v>
      </c>
      <c r="BN424" s="435">
        <v>1</v>
      </c>
      <c r="BO424" s="247">
        <v>1</v>
      </c>
      <c r="BP424" s="246">
        <f t="shared" si="1631"/>
        <v>1</v>
      </c>
      <c r="BQ424" s="247">
        <v>1</v>
      </c>
      <c r="BR424" s="247">
        <v>1</v>
      </c>
      <c r="BS424" s="247">
        <v>1</v>
      </c>
      <c r="BT424" s="247">
        <v>1</v>
      </c>
      <c r="BU424" s="246">
        <f t="shared" si="1632"/>
        <v>1</v>
      </c>
      <c r="BV424" s="247">
        <v>1</v>
      </c>
      <c r="BW424" s="247">
        <v>1</v>
      </c>
      <c r="BX424" s="247">
        <v>1</v>
      </c>
      <c r="BY424" s="247">
        <v>1</v>
      </c>
      <c r="BZ424" s="246">
        <f t="shared" si="1633"/>
        <v>1</v>
      </c>
      <c r="CA424" s="247">
        <v>1</v>
      </c>
      <c r="CB424" s="247">
        <v>1</v>
      </c>
      <c r="CC424" s="247">
        <v>2</v>
      </c>
      <c r="CD424" s="247">
        <v>2</v>
      </c>
      <c r="CE424" s="246">
        <f t="shared" si="1634"/>
        <v>2</v>
      </c>
      <c r="CF424" s="247">
        <v>2</v>
      </c>
      <c r="CG424" s="247">
        <v>3</v>
      </c>
      <c r="CH424" s="247">
        <v>3</v>
      </c>
      <c r="CI424" s="247">
        <v>5</v>
      </c>
      <c r="CJ424" s="246">
        <f t="shared" si="1635"/>
        <v>5</v>
      </c>
      <c r="CK424" s="247">
        <v>5</v>
      </c>
      <c r="CL424" s="247">
        <v>6</v>
      </c>
      <c r="CM424" s="272">
        <v>6</v>
      </c>
      <c r="CN424" s="247">
        <v>7</v>
      </c>
      <c r="CO424" s="246">
        <f t="shared" si="1636"/>
        <v>7</v>
      </c>
      <c r="CP424" s="272">
        <v>7</v>
      </c>
      <c r="CQ424" s="247">
        <v>8</v>
      </c>
      <c r="CR424" s="247">
        <v>8</v>
      </c>
      <c r="CS424" s="247">
        <v>8</v>
      </c>
      <c r="CT424" s="246">
        <f t="shared" si="1637"/>
        <v>8</v>
      </c>
      <c r="CU424" s="247"/>
      <c r="CV424" s="247"/>
      <c r="CW424" s="247"/>
      <c r="CX424" s="247"/>
      <c r="CY424" s="246"/>
      <c r="CZ424" s="247"/>
      <c r="DA424" s="247"/>
      <c r="DB424" s="247"/>
      <c r="DC424" s="247"/>
      <c r="DD424" s="246"/>
      <c r="DE424" s="247"/>
      <c r="DF424" s="247"/>
      <c r="DG424" s="247"/>
      <c r="DH424" s="247"/>
      <c r="DI424" s="246"/>
      <c r="DJ424" s="247"/>
      <c r="DK424" s="247"/>
      <c r="DL424" s="247"/>
      <c r="DM424" s="247"/>
      <c r="DN424" s="246"/>
      <c r="DO424" s="247"/>
      <c r="DP424" s="247"/>
      <c r="DQ424" s="247"/>
      <c r="DR424" s="247"/>
      <c r="DS424" s="246"/>
    </row>
    <row r="425" hidden="1" outlineLevel="1" spans="2:123">
      <c r="B425" s="434" t="s">
        <v>417</v>
      </c>
      <c r="C425" s="246"/>
      <c r="D425" s="247"/>
      <c r="E425" s="247"/>
      <c r="F425" s="247"/>
      <c r="G425" s="247"/>
      <c r="H425" s="246"/>
      <c r="I425" s="247"/>
      <c r="J425" s="247"/>
      <c r="K425" s="247"/>
      <c r="L425" s="247"/>
      <c r="M425" s="246"/>
      <c r="N425" s="247"/>
      <c r="O425" s="247"/>
      <c r="P425" s="247"/>
      <c r="Q425" s="435"/>
      <c r="R425" s="246"/>
      <c r="S425" s="435"/>
      <c r="T425" s="435"/>
      <c r="U425" s="435"/>
      <c r="V425" s="435"/>
      <c r="W425" s="246"/>
      <c r="X425" s="435"/>
      <c r="Y425" s="435"/>
      <c r="Z425" s="435"/>
      <c r="AA425" s="435"/>
      <c r="AB425" s="246"/>
      <c r="AC425" s="435"/>
      <c r="AD425" s="435"/>
      <c r="AE425" s="435"/>
      <c r="AF425" s="435"/>
      <c r="AG425" s="246"/>
      <c r="AH425" s="435"/>
      <c r="AI425" s="435"/>
      <c r="AJ425" s="435"/>
      <c r="AK425" s="435"/>
      <c r="AL425" s="246"/>
      <c r="AM425" s="435"/>
      <c r="AN425" s="435"/>
      <c r="AO425" s="435"/>
      <c r="AP425" s="435"/>
      <c r="AQ425" s="246"/>
      <c r="AR425" s="435"/>
      <c r="AS425" s="435"/>
      <c r="AT425" s="435"/>
      <c r="AU425" s="435"/>
      <c r="AV425" s="246"/>
      <c r="AW425" s="435"/>
      <c r="AX425" s="435"/>
      <c r="AY425" s="435"/>
      <c r="AZ425" s="435"/>
      <c r="BA425" s="246"/>
      <c r="BB425" s="435"/>
      <c r="BC425" s="435"/>
      <c r="BD425" s="435"/>
      <c r="BE425" s="435"/>
      <c r="BF425" s="246"/>
      <c r="BG425" s="435"/>
      <c r="BH425" s="435"/>
      <c r="BI425" s="435"/>
      <c r="BJ425" s="435"/>
      <c r="BK425" s="246"/>
      <c r="BL425" s="435"/>
      <c r="BM425" s="435"/>
      <c r="BN425" s="435"/>
      <c r="BO425" s="247"/>
      <c r="BP425" s="246"/>
      <c r="BQ425" s="247"/>
      <c r="BR425" s="247">
        <v>1</v>
      </c>
      <c r="BS425" s="247">
        <v>1</v>
      </c>
      <c r="BT425" s="247">
        <v>1</v>
      </c>
      <c r="BU425" s="246">
        <f t="shared" si="1632"/>
        <v>1</v>
      </c>
      <c r="BV425" s="247">
        <v>1</v>
      </c>
      <c r="BW425" s="247">
        <v>1</v>
      </c>
      <c r="BX425" s="247">
        <v>2</v>
      </c>
      <c r="BY425" s="247">
        <v>2</v>
      </c>
      <c r="BZ425" s="246">
        <f t="shared" si="1633"/>
        <v>2</v>
      </c>
      <c r="CA425" s="247">
        <v>2</v>
      </c>
      <c r="CB425" s="247">
        <v>2</v>
      </c>
      <c r="CC425" s="247">
        <v>2</v>
      </c>
      <c r="CD425" s="247">
        <v>2</v>
      </c>
      <c r="CE425" s="246">
        <f t="shared" si="1634"/>
        <v>2</v>
      </c>
      <c r="CF425" s="247">
        <v>2</v>
      </c>
      <c r="CG425" s="247">
        <v>2</v>
      </c>
      <c r="CH425" s="247">
        <v>2</v>
      </c>
      <c r="CI425" s="247">
        <v>2</v>
      </c>
      <c r="CJ425" s="246">
        <f t="shared" si="1635"/>
        <v>2</v>
      </c>
      <c r="CK425" s="247">
        <v>2</v>
      </c>
      <c r="CL425" s="247">
        <v>2</v>
      </c>
      <c r="CM425" s="272">
        <v>2</v>
      </c>
      <c r="CN425" s="247">
        <v>2</v>
      </c>
      <c r="CO425" s="246">
        <f t="shared" si="1636"/>
        <v>2</v>
      </c>
      <c r="CP425" s="272">
        <v>2</v>
      </c>
      <c r="CQ425" s="247">
        <v>2</v>
      </c>
      <c r="CR425" s="247">
        <v>2</v>
      </c>
      <c r="CS425" s="247">
        <v>2</v>
      </c>
      <c r="CT425" s="246">
        <f t="shared" si="1637"/>
        <v>2</v>
      </c>
      <c r="CU425" s="247"/>
      <c r="CV425" s="247"/>
      <c r="CW425" s="247"/>
      <c r="CX425" s="247"/>
      <c r="CY425" s="246"/>
      <c r="CZ425" s="247"/>
      <c r="DA425" s="247"/>
      <c r="DB425" s="247"/>
      <c r="DC425" s="247"/>
      <c r="DD425" s="246"/>
      <c r="DE425" s="247"/>
      <c r="DF425" s="247"/>
      <c r="DG425" s="247"/>
      <c r="DH425" s="247"/>
      <c r="DI425" s="246"/>
      <c r="DJ425" s="247"/>
      <c r="DK425" s="247"/>
      <c r="DL425" s="247"/>
      <c r="DM425" s="247"/>
      <c r="DN425" s="246"/>
      <c r="DO425" s="247"/>
      <c r="DP425" s="247"/>
      <c r="DQ425" s="247"/>
      <c r="DR425" s="247"/>
      <c r="DS425" s="246"/>
    </row>
    <row r="426" hidden="1" outlineLevel="1" spans="2:123">
      <c r="B426" s="434" t="s">
        <v>418</v>
      </c>
      <c r="C426" s="246"/>
      <c r="D426" s="247"/>
      <c r="E426" s="247"/>
      <c r="F426" s="247"/>
      <c r="G426" s="247"/>
      <c r="H426" s="246"/>
      <c r="I426" s="247"/>
      <c r="J426" s="247"/>
      <c r="K426" s="247"/>
      <c r="L426" s="247"/>
      <c r="M426" s="246"/>
      <c r="N426" s="247"/>
      <c r="O426" s="247"/>
      <c r="P426" s="247"/>
      <c r="Q426" s="435"/>
      <c r="R426" s="246"/>
      <c r="S426" s="435"/>
      <c r="T426" s="435"/>
      <c r="U426" s="435"/>
      <c r="V426" s="435"/>
      <c r="W426" s="246"/>
      <c r="X426" s="435"/>
      <c r="Y426" s="435"/>
      <c r="Z426" s="435"/>
      <c r="AA426" s="435"/>
      <c r="AB426" s="246"/>
      <c r="AC426" s="435"/>
      <c r="AD426" s="435"/>
      <c r="AE426" s="435"/>
      <c r="AF426" s="435"/>
      <c r="AG426" s="246"/>
      <c r="AH426" s="435"/>
      <c r="AI426" s="435"/>
      <c r="AJ426" s="435"/>
      <c r="AK426" s="435"/>
      <c r="AL426" s="246"/>
      <c r="AM426" s="435"/>
      <c r="AN426" s="435"/>
      <c r="AO426" s="435"/>
      <c r="AP426" s="435"/>
      <c r="AQ426" s="246"/>
      <c r="AR426" s="435"/>
      <c r="AS426" s="435"/>
      <c r="AT426" s="435"/>
      <c r="AU426" s="435"/>
      <c r="AV426" s="246"/>
      <c r="AW426" s="435"/>
      <c r="AX426" s="435"/>
      <c r="AY426" s="435"/>
      <c r="AZ426" s="435"/>
      <c r="BA426" s="246"/>
      <c r="BB426" s="435"/>
      <c r="BC426" s="435"/>
      <c r="BD426" s="435"/>
      <c r="BE426" s="435"/>
      <c r="BF426" s="246"/>
      <c r="BG426" s="435"/>
      <c r="BH426" s="435"/>
      <c r="BI426" s="435"/>
      <c r="BJ426" s="435"/>
      <c r="BK426" s="246"/>
      <c r="BL426" s="435"/>
      <c r="BM426" s="435"/>
      <c r="BN426" s="435"/>
      <c r="BO426" s="247"/>
      <c r="BP426" s="246"/>
      <c r="BQ426" s="247"/>
      <c r="BR426" s="247"/>
      <c r="BS426" s="247">
        <v>1</v>
      </c>
      <c r="BT426" s="247">
        <v>1</v>
      </c>
      <c r="BU426" s="246">
        <f t="shared" si="1632"/>
        <v>1</v>
      </c>
      <c r="BV426" s="247">
        <v>1</v>
      </c>
      <c r="BW426" s="247">
        <v>1</v>
      </c>
      <c r="BX426" s="247">
        <v>2</v>
      </c>
      <c r="BY426" s="247">
        <v>3</v>
      </c>
      <c r="BZ426" s="246">
        <f t="shared" si="1633"/>
        <v>3</v>
      </c>
      <c r="CA426" s="247">
        <v>3</v>
      </c>
      <c r="CB426" s="247">
        <v>3</v>
      </c>
      <c r="CC426" s="247">
        <v>3</v>
      </c>
      <c r="CD426" s="247">
        <v>3</v>
      </c>
      <c r="CE426" s="246">
        <f t="shared" si="1634"/>
        <v>3</v>
      </c>
      <c r="CF426" s="247">
        <v>3</v>
      </c>
      <c r="CG426" s="247">
        <v>3</v>
      </c>
      <c r="CH426" s="247">
        <v>3</v>
      </c>
      <c r="CI426" s="247">
        <v>3</v>
      </c>
      <c r="CJ426" s="246">
        <f t="shared" si="1635"/>
        <v>3</v>
      </c>
      <c r="CK426" s="247">
        <v>3</v>
      </c>
      <c r="CL426" s="247">
        <v>3</v>
      </c>
      <c r="CM426" s="272">
        <v>3</v>
      </c>
      <c r="CN426" s="247">
        <f>4</f>
        <v>4</v>
      </c>
      <c r="CO426" s="246">
        <f t="shared" si="1636"/>
        <v>4</v>
      </c>
      <c r="CP426" s="272">
        <v>4</v>
      </c>
      <c r="CQ426" s="247">
        <v>5</v>
      </c>
      <c r="CR426" s="247">
        <v>5</v>
      </c>
      <c r="CS426" s="247">
        <v>6</v>
      </c>
      <c r="CT426" s="246">
        <f t="shared" si="1637"/>
        <v>6</v>
      </c>
      <c r="CU426" s="247"/>
      <c r="CV426" s="247"/>
      <c r="CW426" s="247"/>
      <c r="CX426" s="247"/>
      <c r="CY426" s="246"/>
      <c r="CZ426" s="247"/>
      <c r="DA426" s="247"/>
      <c r="DB426" s="247"/>
      <c r="DC426" s="247"/>
      <c r="DD426" s="246"/>
      <c r="DE426" s="247"/>
      <c r="DF426" s="247"/>
      <c r="DG426" s="247"/>
      <c r="DH426" s="247"/>
      <c r="DI426" s="246"/>
      <c r="DJ426" s="247"/>
      <c r="DK426" s="247"/>
      <c r="DL426" s="247"/>
      <c r="DM426" s="247"/>
      <c r="DN426" s="246"/>
      <c r="DO426" s="247"/>
      <c r="DP426" s="247"/>
      <c r="DQ426" s="247"/>
      <c r="DR426" s="247"/>
      <c r="DS426" s="246"/>
    </row>
    <row r="427" hidden="1" outlineLevel="1" spans="2:123">
      <c r="B427" s="434" t="s">
        <v>419</v>
      </c>
      <c r="C427" s="246"/>
      <c r="D427" s="247"/>
      <c r="E427" s="247"/>
      <c r="F427" s="247"/>
      <c r="G427" s="247"/>
      <c r="H427" s="246"/>
      <c r="I427" s="247"/>
      <c r="J427" s="247"/>
      <c r="K427" s="247"/>
      <c r="L427" s="247"/>
      <c r="M427" s="246"/>
      <c r="N427" s="247"/>
      <c r="O427" s="247"/>
      <c r="P427" s="247"/>
      <c r="Q427" s="435"/>
      <c r="R427" s="246"/>
      <c r="S427" s="435"/>
      <c r="T427" s="435"/>
      <c r="U427" s="435"/>
      <c r="V427" s="435"/>
      <c r="W427" s="246"/>
      <c r="X427" s="435"/>
      <c r="Y427" s="435"/>
      <c r="Z427" s="435"/>
      <c r="AA427" s="435"/>
      <c r="AB427" s="246"/>
      <c r="AC427" s="435"/>
      <c r="AD427" s="435"/>
      <c r="AE427" s="435"/>
      <c r="AF427" s="435"/>
      <c r="AG427" s="246"/>
      <c r="AH427" s="435"/>
      <c r="AI427" s="435"/>
      <c r="AJ427" s="435"/>
      <c r="AK427" s="435"/>
      <c r="AL427" s="246"/>
      <c r="AM427" s="435"/>
      <c r="AN427" s="435"/>
      <c r="AO427" s="435"/>
      <c r="AP427" s="435"/>
      <c r="AQ427" s="246"/>
      <c r="AR427" s="435"/>
      <c r="AS427" s="435"/>
      <c r="AT427" s="435"/>
      <c r="AU427" s="435"/>
      <c r="AV427" s="246"/>
      <c r="AW427" s="435"/>
      <c r="AX427" s="435"/>
      <c r="AY427" s="435"/>
      <c r="AZ427" s="435"/>
      <c r="BA427" s="246"/>
      <c r="BB427" s="435"/>
      <c r="BC427" s="435"/>
      <c r="BD427" s="435"/>
      <c r="BE427" s="435"/>
      <c r="BF427" s="246"/>
      <c r="BG427" s="435"/>
      <c r="BH427" s="435"/>
      <c r="BI427" s="435"/>
      <c r="BJ427" s="435"/>
      <c r="BK427" s="246"/>
      <c r="BL427" s="435"/>
      <c r="BM427" s="435"/>
      <c r="BN427" s="435"/>
      <c r="BO427" s="247"/>
      <c r="BP427" s="246"/>
      <c r="BQ427" s="247"/>
      <c r="BR427" s="247"/>
      <c r="BS427" s="247"/>
      <c r="BT427" s="247"/>
      <c r="BU427" s="246"/>
      <c r="BV427" s="247"/>
      <c r="BW427" s="247"/>
      <c r="BX427" s="247"/>
      <c r="BY427" s="247"/>
      <c r="BZ427" s="246"/>
      <c r="CA427" s="247"/>
      <c r="CB427" s="247"/>
      <c r="CC427" s="247"/>
      <c r="CD427" s="247"/>
      <c r="CE427" s="246"/>
      <c r="CF427" s="247"/>
      <c r="CG427" s="247"/>
      <c r="CH427" s="247"/>
      <c r="CI427" s="247"/>
      <c r="CJ427" s="246"/>
      <c r="CK427" s="247"/>
      <c r="CL427" s="247"/>
      <c r="CM427" s="272">
        <v>2</v>
      </c>
      <c r="CN427" s="247">
        <v>3</v>
      </c>
      <c r="CO427" s="246">
        <f t="shared" si="1636"/>
        <v>3</v>
      </c>
      <c r="CP427" s="272">
        <v>3</v>
      </c>
      <c r="CQ427" s="247">
        <v>3</v>
      </c>
      <c r="CR427" s="247">
        <v>3</v>
      </c>
      <c r="CS427" s="247">
        <v>3</v>
      </c>
      <c r="CT427" s="246">
        <f t="shared" si="1637"/>
        <v>3</v>
      </c>
      <c r="CU427" s="247"/>
      <c r="CV427" s="247"/>
      <c r="CW427" s="247"/>
      <c r="CX427" s="247"/>
      <c r="CY427" s="246"/>
      <c r="CZ427" s="247"/>
      <c r="DA427" s="247"/>
      <c r="DB427" s="247"/>
      <c r="DC427" s="247"/>
      <c r="DD427" s="246"/>
      <c r="DE427" s="247"/>
      <c r="DF427" s="247"/>
      <c r="DG427" s="247"/>
      <c r="DH427" s="247"/>
      <c r="DI427" s="246"/>
      <c r="DJ427" s="247"/>
      <c r="DK427" s="247"/>
      <c r="DL427" s="247"/>
      <c r="DM427" s="247"/>
      <c r="DN427" s="246"/>
      <c r="DO427" s="247"/>
      <c r="DP427" s="247"/>
      <c r="DQ427" s="247"/>
      <c r="DR427" s="247"/>
      <c r="DS427" s="246"/>
    </row>
    <row r="428" hidden="1" outlineLevel="1" spans="2:123">
      <c r="B428" s="434" t="s">
        <v>420</v>
      </c>
      <c r="C428" s="246"/>
      <c r="D428" s="247"/>
      <c r="E428" s="247"/>
      <c r="F428" s="247"/>
      <c r="G428" s="247"/>
      <c r="H428" s="246"/>
      <c r="I428" s="247"/>
      <c r="J428" s="247"/>
      <c r="K428" s="247"/>
      <c r="L428" s="247"/>
      <c r="M428" s="246"/>
      <c r="N428" s="247"/>
      <c r="O428" s="247"/>
      <c r="P428" s="247"/>
      <c r="Q428" s="435"/>
      <c r="R428" s="246"/>
      <c r="S428" s="435"/>
      <c r="T428" s="435"/>
      <c r="U428" s="435"/>
      <c r="V428" s="435"/>
      <c r="W428" s="246"/>
      <c r="X428" s="435"/>
      <c r="Y428" s="435"/>
      <c r="Z428" s="435"/>
      <c r="AA428" s="435"/>
      <c r="AB428" s="246"/>
      <c r="AC428" s="435"/>
      <c r="AD428" s="435"/>
      <c r="AE428" s="435"/>
      <c r="AF428" s="435"/>
      <c r="AG428" s="246"/>
      <c r="AH428" s="435"/>
      <c r="AI428" s="435"/>
      <c r="AJ428" s="435"/>
      <c r="AK428" s="435"/>
      <c r="AL428" s="246"/>
      <c r="AM428" s="435"/>
      <c r="AN428" s="435"/>
      <c r="AO428" s="435"/>
      <c r="AP428" s="435"/>
      <c r="AQ428" s="246"/>
      <c r="AR428" s="435"/>
      <c r="AS428" s="435"/>
      <c r="AT428" s="435"/>
      <c r="AU428" s="435"/>
      <c r="AV428" s="246"/>
      <c r="AW428" s="435"/>
      <c r="AX428" s="435"/>
      <c r="AY428" s="435"/>
      <c r="AZ428" s="435"/>
      <c r="BA428" s="246"/>
      <c r="BB428" s="435"/>
      <c r="BC428" s="435"/>
      <c r="BD428" s="435"/>
      <c r="BE428" s="435"/>
      <c r="BF428" s="246"/>
      <c r="BG428" s="435"/>
      <c r="BH428" s="435"/>
      <c r="BI428" s="435"/>
      <c r="BJ428" s="435"/>
      <c r="BK428" s="246"/>
      <c r="BL428" s="435"/>
      <c r="BM428" s="435"/>
      <c r="BN428" s="435"/>
      <c r="BO428" s="247"/>
      <c r="BP428" s="246"/>
      <c r="BQ428" s="247"/>
      <c r="BR428" s="247"/>
      <c r="BS428" s="247"/>
      <c r="BT428" s="247"/>
      <c r="BU428" s="246"/>
      <c r="BV428" s="247">
        <v>1</v>
      </c>
      <c r="BW428" s="247">
        <v>1</v>
      </c>
      <c r="BX428" s="247">
        <v>1</v>
      </c>
      <c r="BY428" s="247">
        <v>1</v>
      </c>
      <c r="BZ428" s="246">
        <f t="shared" si="1633"/>
        <v>1</v>
      </c>
      <c r="CA428" s="247">
        <v>1</v>
      </c>
      <c r="CB428" s="247">
        <v>1</v>
      </c>
      <c r="CC428" s="247">
        <v>1</v>
      </c>
      <c r="CD428" s="247">
        <v>1</v>
      </c>
      <c r="CE428" s="246">
        <f t="shared" si="1634"/>
        <v>1</v>
      </c>
      <c r="CF428" s="247">
        <v>1</v>
      </c>
      <c r="CG428" s="247">
        <v>1</v>
      </c>
      <c r="CH428" s="247">
        <v>1</v>
      </c>
      <c r="CI428" s="247">
        <v>1</v>
      </c>
      <c r="CJ428" s="246">
        <f t="shared" si="1635"/>
        <v>1</v>
      </c>
      <c r="CK428" s="247">
        <v>1</v>
      </c>
      <c r="CL428" s="247">
        <v>1</v>
      </c>
      <c r="CM428" s="272">
        <v>1</v>
      </c>
      <c r="CN428" s="247">
        <v>1</v>
      </c>
      <c r="CO428" s="246">
        <f t="shared" si="1636"/>
        <v>1</v>
      </c>
      <c r="CP428" s="272">
        <v>1</v>
      </c>
      <c r="CQ428" s="247">
        <v>1</v>
      </c>
      <c r="CR428" s="247">
        <v>2</v>
      </c>
      <c r="CS428" s="247">
        <v>2</v>
      </c>
      <c r="CT428" s="246">
        <f t="shared" si="1637"/>
        <v>2</v>
      </c>
      <c r="CU428" s="247"/>
      <c r="CV428" s="247"/>
      <c r="CW428" s="247"/>
      <c r="CX428" s="247"/>
      <c r="CY428" s="246"/>
      <c r="CZ428" s="247"/>
      <c r="DA428" s="247"/>
      <c r="DB428" s="247"/>
      <c r="DC428" s="247"/>
      <c r="DD428" s="246"/>
      <c r="DE428" s="247"/>
      <c r="DF428" s="247"/>
      <c r="DG428" s="247"/>
      <c r="DH428" s="247"/>
      <c r="DI428" s="246"/>
      <c r="DJ428" s="247"/>
      <c r="DK428" s="247"/>
      <c r="DL428" s="247"/>
      <c r="DM428" s="247"/>
      <c r="DN428" s="246"/>
      <c r="DO428" s="247"/>
      <c r="DP428" s="247"/>
      <c r="DQ428" s="247"/>
      <c r="DR428" s="247"/>
      <c r="DS428" s="246"/>
    </row>
    <row r="429" hidden="1" outlineLevel="1" spans="2:123">
      <c r="B429" s="434" t="s">
        <v>421</v>
      </c>
      <c r="C429" s="246"/>
      <c r="D429" s="247"/>
      <c r="E429" s="247"/>
      <c r="F429" s="247"/>
      <c r="G429" s="247"/>
      <c r="H429" s="246"/>
      <c r="I429" s="247"/>
      <c r="J429" s="247"/>
      <c r="K429" s="247"/>
      <c r="L429" s="247"/>
      <c r="M429" s="246"/>
      <c r="N429" s="247"/>
      <c r="O429" s="247"/>
      <c r="P429" s="247"/>
      <c r="Q429" s="435"/>
      <c r="R429" s="246"/>
      <c r="S429" s="435"/>
      <c r="T429" s="435"/>
      <c r="U429" s="435"/>
      <c r="V429" s="435"/>
      <c r="W429" s="246"/>
      <c r="X429" s="435"/>
      <c r="Y429" s="435"/>
      <c r="Z429" s="435"/>
      <c r="AA429" s="435"/>
      <c r="AB429" s="246"/>
      <c r="AC429" s="435"/>
      <c r="AD429" s="435"/>
      <c r="AE429" s="435"/>
      <c r="AF429" s="435"/>
      <c r="AG429" s="246"/>
      <c r="AH429" s="435"/>
      <c r="AI429" s="435"/>
      <c r="AJ429" s="435"/>
      <c r="AK429" s="435"/>
      <c r="AL429" s="246"/>
      <c r="AM429" s="435"/>
      <c r="AN429" s="435"/>
      <c r="AO429" s="435"/>
      <c r="AP429" s="435"/>
      <c r="AQ429" s="246"/>
      <c r="AR429" s="435"/>
      <c r="AS429" s="435"/>
      <c r="AT429" s="435"/>
      <c r="AU429" s="435"/>
      <c r="AV429" s="246"/>
      <c r="AW429" s="435"/>
      <c r="AX429" s="435"/>
      <c r="AY429" s="435"/>
      <c r="AZ429" s="435"/>
      <c r="BA429" s="246"/>
      <c r="BB429" s="435"/>
      <c r="BC429" s="435"/>
      <c r="BD429" s="435"/>
      <c r="BE429" s="435"/>
      <c r="BF429" s="246"/>
      <c r="BG429" s="435"/>
      <c r="BH429" s="435"/>
      <c r="BI429" s="435"/>
      <c r="BJ429" s="435"/>
      <c r="BK429" s="246"/>
      <c r="BL429" s="435"/>
      <c r="BM429" s="435"/>
      <c r="BN429" s="435"/>
      <c r="BO429" s="247"/>
      <c r="BP429" s="246"/>
      <c r="BQ429" s="247"/>
      <c r="BR429" s="247"/>
      <c r="BS429" s="247"/>
      <c r="BT429" s="247"/>
      <c r="BU429" s="246"/>
      <c r="BV429" s="247"/>
      <c r="BW429" s="247"/>
      <c r="BX429" s="247"/>
      <c r="BY429" s="247">
        <v>2</v>
      </c>
      <c r="BZ429" s="246">
        <f t="shared" si="1633"/>
        <v>2</v>
      </c>
      <c r="CA429" s="247">
        <v>2</v>
      </c>
      <c r="CB429" s="247">
        <v>2</v>
      </c>
      <c r="CC429" s="247">
        <v>2</v>
      </c>
      <c r="CD429" s="247">
        <v>2</v>
      </c>
      <c r="CE429" s="246">
        <f t="shared" si="1634"/>
        <v>2</v>
      </c>
      <c r="CF429" s="247">
        <v>2</v>
      </c>
      <c r="CG429" s="247">
        <v>2</v>
      </c>
      <c r="CH429" s="247">
        <v>2</v>
      </c>
      <c r="CI429" s="247">
        <v>2</v>
      </c>
      <c r="CJ429" s="246">
        <f t="shared" si="1635"/>
        <v>2</v>
      </c>
      <c r="CK429" s="247">
        <v>2</v>
      </c>
      <c r="CL429" s="247">
        <v>2</v>
      </c>
      <c r="CM429" s="272">
        <v>2</v>
      </c>
      <c r="CN429" s="247">
        <v>2</v>
      </c>
      <c r="CO429" s="246">
        <f t="shared" si="1636"/>
        <v>2</v>
      </c>
      <c r="CP429" s="272">
        <v>2</v>
      </c>
      <c r="CQ429" s="247">
        <v>2</v>
      </c>
      <c r="CR429" s="247">
        <v>2</v>
      </c>
      <c r="CS429" s="247">
        <v>3</v>
      </c>
      <c r="CT429" s="246">
        <f t="shared" si="1637"/>
        <v>3</v>
      </c>
      <c r="CU429" s="247"/>
      <c r="CV429" s="247"/>
      <c r="CW429" s="247"/>
      <c r="CX429" s="247"/>
      <c r="CY429" s="246"/>
      <c r="CZ429" s="247"/>
      <c r="DA429" s="247"/>
      <c r="DB429" s="247"/>
      <c r="DC429" s="247"/>
      <c r="DD429" s="246"/>
      <c r="DE429" s="247"/>
      <c r="DF429" s="247"/>
      <c r="DG429" s="247"/>
      <c r="DH429" s="247"/>
      <c r="DI429" s="246"/>
      <c r="DJ429" s="247"/>
      <c r="DK429" s="247"/>
      <c r="DL429" s="247"/>
      <c r="DM429" s="247"/>
      <c r="DN429" s="246"/>
      <c r="DO429" s="247"/>
      <c r="DP429" s="247"/>
      <c r="DQ429" s="247"/>
      <c r="DR429" s="247"/>
      <c r="DS429" s="246"/>
    </row>
    <row r="430" hidden="1" outlineLevel="1" spans="2:123">
      <c r="B430" s="434" t="s">
        <v>422</v>
      </c>
      <c r="C430" s="246"/>
      <c r="D430" s="247"/>
      <c r="E430" s="247"/>
      <c r="F430" s="247"/>
      <c r="G430" s="247"/>
      <c r="H430" s="246"/>
      <c r="I430" s="247"/>
      <c r="J430" s="247"/>
      <c r="K430" s="247"/>
      <c r="L430" s="247"/>
      <c r="M430" s="246"/>
      <c r="N430" s="247"/>
      <c r="O430" s="247"/>
      <c r="P430" s="247"/>
      <c r="Q430" s="435"/>
      <c r="R430" s="246"/>
      <c r="S430" s="435"/>
      <c r="T430" s="435"/>
      <c r="U430" s="435"/>
      <c r="V430" s="435"/>
      <c r="W430" s="246"/>
      <c r="X430" s="435"/>
      <c r="Y430" s="435"/>
      <c r="Z430" s="435"/>
      <c r="AA430" s="435"/>
      <c r="AB430" s="246"/>
      <c r="AC430" s="435"/>
      <c r="AD430" s="435"/>
      <c r="AE430" s="435"/>
      <c r="AF430" s="435"/>
      <c r="AG430" s="246"/>
      <c r="AH430" s="435"/>
      <c r="AI430" s="435"/>
      <c r="AJ430" s="435"/>
      <c r="AK430" s="435"/>
      <c r="AL430" s="246"/>
      <c r="AM430" s="435"/>
      <c r="AN430" s="435"/>
      <c r="AO430" s="435"/>
      <c r="AP430" s="435"/>
      <c r="AQ430" s="246"/>
      <c r="AR430" s="435"/>
      <c r="AS430" s="435"/>
      <c r="AT430" s="435"/>
      <c r="AU430" s="435"/>
      <c r="AV430" s="246"/>
      <c r="AW430" s="435"/>
      <c r="AX430" s="435"/>
      <c r="AY430" s="435"/>
      <c r="AZ430" s="435"/>
      <c r="BA430" s="246"/>
      <c r="BB430" s="435"/>
      <c r="BC430" s="435"/>
      <c r="BD430" s="435"/>
      <c r="BE430" s="435"/>
      <c r="BF430" s="246"/>
      <c r="BG430" s="435"/>
      <c r="BH430" s="435"/>
      <c r="BI430" s="435"/>
      <c r="BJ430" s="435"/>
      <c r="BK430" s="246"/>
      <c r="BL430" s="435"/>
      <c r="BM430" s="435"/>
      <c r="BN430" s="435"/>
      <c r="BO430" s="247"/>
      <c r="BP430" s="246"/>
      <c r="BQ430" s="247"/>
      <c r="BR430" s="247"/>
      <c r="BS430" s="247"/>
      <c r="BT430" s="247"/>
      <c r="BU430" s="246"/>
      <c r="BV430" s="247"/>
      <c r="BW430" s="247"/>
      <c r="BX430" s="247"/>
      <c r="BY430" s="247">
        <v>1</v>
      </c>
      <c r="BZ430" s="246">
        <f t="shared" si="1633"/>
        <v>1</v>
      </c>
      <c r="CA430" s="247">
        <v>1</v>
      </c>
      <c r="CB430" s="247">
        <v>1</v>
      </c>
      <c r="CC430" s="247">
        <v>1</v>
      </c>
      <c r="CD430" s="247">
        <v>1</v>
      </c>
      <c r="CE430" s="246">
        <f t="shared" si="1634"/>
        <v>1</v>
      </c>
      <c r="CF430" s="247">
        <v>1</v>
      </c>
      <c r="CG430" s="247">
        <v>1</v>
      </c>
      <c r="CH430" s="247">
        <v>1</v>
      </c>
      <c r="CI430" s="247">
        <v>1</v>
      </c>
      <c r="CJ430" s="246">
        <f t="shared" si="1635"/>
        <v>1</v>
      </c>
      <c r="CK430" s="247">
        <v>1</v>
      </c>
      <c r="CL430" s="247">
        <v>1</v>
      </c>
      <c r="CM430" s="272">
        <v>1</v>
      </c>
      <c r="CN430" s="247">
        <v>1</v>
      </c>
      <c r="CO430" s="246">
        <f t="shared" si="1636"/>
        <v>1</v>
      </c>
      <c r="CP430" s="272">
        <v>1</v>
      </c>
      <c r="CQ430" s="247">
        <v>1</v>
      </c>
      <c r="CR430" s="247">
        <v>1</v>
      </c>
      <c r="CS430" s="247">
        <v>1</v>
      </c>
      <c r="CT430" s="246">
        <f t="shared" si="1637"/>
        <v>1</v>
      </c>
      <c r="CU430" s="247"/>
      <c r="CV430" s="247"/>
      <c r="CW430" s="247"/>
      <c r="CX430" s="247"/>
      <c r="CY430" s="246"/>
      <c r="CZ430" s="247"/>
      <c r="DA430" s="247"/>
      <c r="DB430" s="247"/>
      <c r="DC430" s="247"/>
      <c r="DD430" s="246"/>
      <c r="DE430" s="247"/>
      <c r="DF430" s="247"/>
      <c r="DG430" s="247"/>
      <c r="DH430" s="247"/>
      <c r="DI430" s="246"/>
      <c r="DJ430" s="247"/>
      <c r="DK430" s="247"/>
      <c r="DL430" s="247"/>
      <c r="DM430" s="247"/>
      <c r="DN430" s="246"/>
      <c r="DO430" s="247"/>
      <c r="DP430" s="247"/>
      <c r="DQ430" s="247"/>
      <c r="DR430" s="247"/>
      <c r="DS430" s="246"/>
    </row>
    <row r="431" hidden="1" outlineLevel="1" spans="2:123">
      <c r="B431" s="434" t="s">
        <v>423</v>
      </c>
      <c r="C431" s="246"/>
      <c r="D431" s="247"/>
      <c r="E431" s="247"/>
      <c r="F431" s="247"/>
      <c r="G431" s="247"/>
      <c r="H431" s="246"/>
      <c r="I431" s="247"/>
      <c r="J431" s="247"/>
      <c r="K431" s="247"/>
      <c r="L431" s="247"/>
      <c r="M431" s="246"/>
      <c r="N431" s="247"/>
      <c r="O431" s="247"/>
      <c r="P431" s="247"/>
      <c r="Q431" s="435"/>
      <c r="R431" s="246"/>
      <c r="S431" s="435"/>
      <c r="T431" s="435"/>
      <c r="U431" s="435"/>
      <c r="V431" s="435"/>
      <c r="W431" s="246"/>
      <c r="X431" s="435"/>
      <c r="Y431" s="435"/>
      <c r="Z431" s="435"/>
      <c r="AA431" s="435"/>
      <c r="AB431" s="246"/>
      <c r="AC431" s="435"/>
      <c r="AD431" s="435"/>
      <c r="AE431" s="435"/>
      <c r="AF431" s="435"/>
      <c r="AG431" s="246"/>
      <c r="AH431" s="435"/>
      <c r="AI431" s="435"/>
      <c r="AJ431" s="435"/>
      <c r="AK431" s="435"/>
      <c r="AL431" s="246"/>
      <c r="AM431" s="435"/>
      <c r="AN431" s="435"/>
      <c r="AO431" s="435"/>
      <c r="AP431" s="435"/>
      <c r="AQ431" s="246"/>
      <c r="AR431" s="435"/>
      <c r="AS431" s="435"/>
      <c r="AT431" s="435"/>
      <c r="AU431" s="435"/>
      <c r="AV431" s="246"/>
      <c r="AW431" s="435"/>
      <c r="AX431" s="435"/>
      <c r="AY431" s="435"/>
      <c r="AZ431" s="435"/>
      <c r="BA431" s="246"/>
      <c r="BB431" s="435"/>
      <c r="BC431" s="435"/>
      <c r="BD431" s="435"/>
      <c r="BE431" s="435"/>
      <c r="BF431" s="246"/>
      <c r="BG431" s="435"/>
      <c r="BH431" s="435"/>
      <c r="BI431" s="435"/>
      <c r="BJ431" s="435"/>
      <c r="BK431" s="246"/>
      <c r="BL431" s="435"/>
      <c r="BM431" s="435"/>
      <c r="BN431" s="435"/>
      <c r="BO431" s="247"/>
      <c r="BP431" s="246"/>
      <c r="BQ431" s="247"/>
      <c r="BR431" s="247"/>
      <c r="BS431" s="247"/>
      <c r="BT431" s="247"/>
      <c r="BU431" s="246"/>
      <c r="BV431" s="247"/>
      <c r="BW431" s="247"/>
      <c r="BX431" s="247"/>
      <c r="BY431" s="247"/>
      <c r="BZ431" s="246"/>
      <c r="CA431" s="247"/>
      <c r="CB431" s="247"/>
      <c r="CC431" s="247"/>
      <c r="CD431" s="247"/>
      <c r="CE431" s="246"/>
      <c r="CF431" s="247"/>
      <c r="CG431" s="247"/>
      <c r="CH431" s="247"/>
      <c r="CI431" s="247"/>
      <c r="CJ431" s="246"/>
      <c r="CK431" s="247"/>
      <c r="CL431" s="247"/>
      <c r="CM431" s="272"/>
      <c r="CN431" s="247"/>
      <c r="CO431" s="246"/>
      <c r="CP431" s="272"/>
      <c r="CQ431" s="247">
        <v>1</v>
      </c>
      <c r="CR431" s="247">
        <v>1</v>
      </c>
      <c r="CS431" s="247">
        <v>1</v>
      </c>
      <c r="CT431" s="246">
        <f t="shared" si="1637"/>
        <v>1</v>
      </c>
      <c r="CU431" s="247"/>
      <c r="CV431" s="247"/>
      <c r="CW431" s="247"/>
      <c r="CX431" s="247"/>
      <c r="CY431" s="246"/>
      <c r="CZ431" s="247"/>
      <c r="DA431" s="247"/>
      <c r="DB431" s="247"/>
      <c r="DC431" s="247"/>
      <c r="DD431" s="246"/>
      <c r="DE431" s="247"/>
      <c r="DF431" s="247"/>
      <c r="DG431" s="247"/>
      <c r="DH431" s="247"/>
      <c r="DI431" s="246"/>
      <c r="DJ431" s="247"/>
      <c r="DK431" s="247"/>
      <c r="DL431" s="247"/>
      <c r="DM431" s="247"/>
      <c r="DN431" s="246"/>
      <c r="DO431" s="247"/>
      <c r="DP431" s="247"/>
      <c r="DQ431" s="247"/>
      <c r="DR431" s="247"/>
      <c r="DS431" s="246"/>
    </row>
    <row r="432" hidden="1" outlineLevel="1" spans="2:123">
      <c r="B432" s="434" t="s">
        <v>424</v>
      </c>
      <c r="C432" s="246"/>
      <c r="D432" s="247"/>
      <c r="E432" s="247"/>
      <c r="F432" s="247"/>
      <c r="G432" s="247"/>
      <c r="H432" s="246"/>
      <c r="I432" s="247"/>
      <c r="J432" s="247"/>
      <c r="K432" s="247"/>
      <c r="L432" s="247"/>
      <c r="M432" s="246"/>
      <c r="N432" s="247"/>
      <c r="O432" s="247"/>
      <c r="P432" s="247"/>
      <c r="Q432" s="435"/>
      <c r="R432" s="246"/>
      <c r="S432" s="435"/>
      <c r="T432" s="435"/>
      <c r="U432" s="435"/>
      <c r="V432" s="435"/>
      <c r="W432" s="246"/>
      <c r="X432" s="435"/>
      <c r="Y432" s="435"/>
      <c r="Z432" s="435"/>
      <c r="AA432" s="435"/>
      <c r="AB432" s="246"/>
      <c r="AC432" s="435"/>
      <c r="AD432" s="435"/>
      <c r="AE432" s="435"/>
      <c r="AF432" s="435"/>
      <c r="AG432" s="246"/>
      <c r="AH432" s="435"/>
      <c r="AI432" s="435"/>
      <c r="AJ432" s="435"/>
      <c r="AK432" s="435"/>
      <c r="AL432" s="246"/>
      <c r="AM432" s="435"/>
      <c r="AN432" s="435"/>
      <c r="AO432" s="435"/>
      <c r="AP432" s="435"/>
      <c r="AQ432" s="246"/>
      <c r="AR432" s="435"/>
      <c r="AS432" s="435"/>
      <c r="AT432" s="435"/>
      <c r="AU432" s="435"/>
      <c r="AV432" s="246"/>
      <c r="AW432" s="435"/>
      <c r="AX432" s="435"/>
      <c r="AY432" s="435"/>
      <c r="AZ432" s="435"/>
      <c r="BA432" s="246"/>
      <c r="BB432" s="435"/>
      <c r="BC432" s="435"/>
      <c r="BD432" s="435"/>
      <c r="BE432" s="435"/>
      <c r="BF432" s="246"/>
      <c r="BG432" s="435"/>
      <c r="BH432" s="435"/>
      <c r="BI432" s="435"/>
      <c r="BJ432" s="435"/>
      <c r="BK432" s="246"/>
      <c r="BL432" s="435"/>
      <c r="BM432" s="435"/>
      <c r="BN432" s="435"/>
      <c r="BO432" s="247"/>
      <c r="BP432" s="246"/>
      <c r="BQ432" s="247"/>
      <c r="BR432" s="247"/>
      <c r="BS432" s="247"/>
      <c r="BT432" s="247"/>
      <c r="BU432" s="246"/>
      <c r="BV432" s="247"/>
      <c r="BW432" s="247"/>
      <c r="BX432" s="247"/>
      <c r="BY432" s="247"/>
      <c r="BZ432" s="246"/>
      <c r="CA432" s="247"/>
      <c r="CB432" s="247"/>
      <c r="CC432" s="247"/>
      <c r="CD432" s="247"/>
      <c r="CE432" s="246"/>
      <c r="CF432" s="247"/>
      <c r="CG432" s="247"/>
      <c r="CH432" s="247"/>
      <c r="CI432" s="247"/>
      <c r="CJ432" s="246"/>
      <c r="CK432" s="247"/>
      <c r="CL432" s="247"/>
      <c r="CM432" s="272"/>
      <c r="CN432" s="247"/>
      <c r="CO432" s="246"/>
      <c r="CP432" s="272"/>
      <c r="CQ432" s="247"/>
      <c r="CR432" s="247"/>
      <c r="CS432" s="247"/>
      <c r="CT432" s="246"/>
      <c r="CU432" s="247"/>
      <c r="CV432" s="247"/>
      <c r="CW432" s="247"/>
      <c r="CX432" s="247"/>
      <c r="CY432" s="246"/>
      <c r="CZ432" s="247"/>
      <c r="DA432" s="247"/>
      <c r="DB432" s="247"/>
      <c r="DC432" s="247"/>
      <c r="DD432" s="246"/>
      <c r="DE432" s="247"/>
      <c r="DF432" s="247"/>
      <c r="DG432" s="247"/>
      <c r="DH432" s="247"/>
      <c r="DI432" s="246"/>
      <c r="DJ432" s="247"/>
      <c r="DK432" s="247"/>
      <c r="DL432" s="247"/>
      <c r="DM432" s="247"/>
      <c r="DN432" s="246"/>
      <c r="DO432" s="247"/>
      <c r="DP432" s="247"/>
      <c r="DQ432" s="247"/>
      <c r="DR432" s="247"/>
      <c r="DS432" s="246"/>
    </row>
    <row r="433" s="3" customFormat="1" hidden="1" outlineLevel="1" spans="2:123">
      <c r="B433" s="425" t="s">
        <v>457</v>
      </c>
      <c r="C433" s="426"/>
      <c r="D433" s="427"/>
      <c r="E433" s="427"/>
      <c r="F433" s="427"/>
      <c r="G433" s="427"/>
      <c r="H433" s="426"/>
      <c r="I433" s="427"/>
      <c r="J433" s="427"/>
      <c r="K433" s="427"/>
      <c r="L433" s="427"/>
      <c r="M433" s="426"/>
      <c r="N433" s="427"/>
      <c r="O433" s="427"/>
      <c r="P433" s="427"/>
      <c r="Q433" s="430">
        <f t="shared" ref="Q433:AV433" si="1638">SUM(Q412:Q424)</f>
        <v>4</v>
      </c>
      <c r="R433" s="429">
        <f t="shared" si="1638"/>
        <v>4</v>
      </c>
      <c r="S433" s="430">
        <f t="shared" si="1638"/>
        <v>4</v>
      </c>
      <c r="T433" s="430">
        <f t="shared" si="1638"/>
        <v>1</v>
      </c>
      <c r="U433" s="430">
        <f t="shared" si="1638"/>
        <v>0</v>
      </c>
      <c r="V433" s="430">
        <f t="shared" si="1638"/>
        <v>0</v>
      </c>
      <c r="W433" s="429">
        <f t="shared" si="1638"/>
        <v>0</v>
      </c>
      <c r="X433" s="430">
        <f t="shared" si="1638"/>
        <v>0</v>
      </c>
      <c r="Y433" s="430">
        <f t="shared" si="1638"/>
        <v>0</v>
      </c>
      <c r="Z433" s="430">
        <f t="shared" si="1638"/>
        <v>0</v>
      </c>
      <c r="AA433" s="430">
        <f t="shared" si="1638"/>
        <v>0</v>
      </c>
      <c r="AB433" s="429">
        <f t="shared" si="1638"/>
        <v>0</v>
      </c>
      <c r="AC433" s="430">
        <f t="shared" si="1638"/>
        <v>0</v>
      </c>
      <c r="AD433" s="430">
        <f t="shared" si="1638"/>
        <v>10</v>
      </c>
      <c r="AE433" s="430">
        <f t="shared" si="1638"/>
        <v>11</v>
      </c>
      <c r="AF433" s="430">
        <f t="shared" si="1638"/>
        <v>11</v>
      </c>
      <c r="AG433" s="429">
        <f t="shared" si="1638"/>
        <v>11</v>
      </c>
      <c r="AH433" s="430">
        <f t="shared" si="1638"/>
        <v>12</v>
      </c>
      <c r="AI433" s="430">
        <f t="shared" si="1638"/>
        <v>13</v>
      </c>
      <c r="AJ433" s="430">
        <f t="shared" si="1638"/>
        <v>14</v>
      </c>
      <c r="AK433" s="430">
        <f t="shared" si="1638"/>
        <v>19</v>
      </c>
      <c r="AL433" s="429">
        <f t="shared" si="1638"/>
        <v>19</v>
      </c>
      <c r="AM433" s="430">
        <f t="shared" si="1638"/>
        <v>19</v>
      </c>
      <c r="AN433" s="430">
        <f t="shared" si="1638"/>
        <v>21</v>
      </c>
      <c r="AO433" s="430">
        <f t="shared" si="1638"/>
        <v>24</v>
      </c>
      <c r="AP433" s="430">
        <f t="shared" si="1638"/>
        <v>25</v>
      </c>
      <c r="AQ433" s="429">
        <f t="shared" si="1638"/>
        <v>25</v>
      </c>
      <c r="AR433" s="430">
        <f t="shared" si="1638"/>
        <v>26</v>
      </c>
      <c r="AS433" s="430">
        <f t="shared" si="1638"/>
        <v>26</v>
      </c>
      <c r="AT433" s="430">
        <f t="shared" si="1638"/>
        <v>28</v>
      </c>
      <c r="AU433" s="430">
        <f t="shared" si="1638"/>
        <v>29</v>
      </c>
      <c r="AV433" s="429">
        <f t="shared" si="1638"/>
        <v>29</v>
      </c>
      <c r="AW433" s="430">
        <f t="shared" ref="AW433:BQ433" si="1639">SUM(AW412:AW424)</f>
        <v>31</v>
      </c>
      <c r="AX433" s="430">
        <f t="shared" si="1639"/>
        <v>31</v>
      </c>
      <c r="AY433" s="430">
        <f t="shared" si="1639"/>
        <v>31</v>
      </c>
      <c r="AZ433" s="430">
        <f t="shared" si="1639"/>
        <v>34</v>
      </c>
      <c r="BA433" s="429">
        <f t="shared" si="1639"/>
        <v>34</v>
      </c>
      <c r="BB433" s="430">
        <f t="shared" si="1639"/>
        <v>34</v>
      </c>
      <c r="BC433" s="430">
        <f t="shared" si="1639"/>
        <v>38</v>
      </c>
      <c r="BD433" s="430">
        <f t="shared" si="1639"/>
        <v>42</v>
      </c>
      <c r="BE433" s="430">
        <f t="shared" si="1639"/>
        <v>43</v>
      </c>
      <c r="BF433" s="429">
        <f t="shared" si="1639"/>
        <v>43</v>
      </c>
      <c r="BG433" s="430">
        <f t="shared" si="1639"/>
        <v>45</v>
      </c>
      <c r="BH433" s="430">
        <f t="shared" si="1639"/>
        <v>47</v>
      </c>
      <c r="BI433" s="430">
        <f t="shared" si="1639"/>
        <v>48</v>
      </c>
      <c r="BJ433" s="430">
        <f t="shared" si="1639"/>
        <v>55</v>
      </c>
      <c r="BK433" s="429">
        <f t="shared" si="1639"/>
        <v>55</v>
      </c>
      <c r="BL433" s="430">
        <f t="shared" si="1639"/>
        <v>58</v>
      </c>
      <c r="BM433" s="430">
        <f t="shared" si="1639"/>
        <v>61</v>
      </c>
      <c r="BN433" s="430">
        <f t="shared" si="1639"/>
        <v>64</v>
      </c>
      <c r="BO433" s="428">
        <f t="shared" si="1639"/>
        <v>71</v>
      </c>
      <c r="BP433" s="429">
        <f t="shared" si="1639"/>
        <v>71</v>
      </c>
      <c r="BQ433" s="428">
        <f t="shared" si="1639"/>
        <v>78</v>
      </c>
      <c r="BR433" s="428">
        <f>SUM(BR412:BR425)</f>
        <v>81</v>
      </c>
      <c r="BS433" s="428">
        <f>SUM(BS412:BS426)</f>
        <v>84</v>
      </c>
      <c r="BT433" s="428">
        <f>SUM(BT412:BT426)</f>
        <v>92</v>
      </c>
      <c r="BU433" s="429">
        <f>SUM(BU412:BU426)</f>
        <v>92</v>
      </c>
      <c r="BV433" s="428">
        <f>SUM(BV412:BV428)</f>
        <v>101</v>
      </c>
      <c r="BW433" s="428">
        <f>SUM(BW412:BW428)</f>
        <v>105</v>
      </c>
      <c r="BX433" s="428">
        <f>SUM(BX412:BX428)</f>
        <v>115</v>
      </c>
      <c r="BY433" s="428">
        <f t="shared" ref="BY433:CE433" si="1640">SUM(BY412:BY430)</f>
        <v>123</v>
      </c>
      <c r="BZ433" s="429">
        <f t="shared" si="1640"/>
        <v>123</v>
      </c>
      <c r="CA433" s="428">
        <f t="shared" si="1640"/>
        <v>127</v>
      </c>
      <c r="CB433" s="428">
        <f t="shared" si="1640"/>
        <v>136</v>
      </c>
      <c r="CC433" s="428">
        <f t="shared" si="1640"/>
        <v>140</v>
      </c>
      <c r="CD433" s="428">
        <f t="shared" si="1640"/>
        <v>144</v>
      </c>
      <c r="CE433" s="429">
        <f t="shared" si="1640"/>
        <v>144</v>
      </c>
      <c r="CF433" s="428">
        <f t="shared" ref="CF433:CP433" si="1641">SUM(CF412:CF430)</f>
        <v>146</v>
      </c>
      <c r="CG433" s="428">
        <f t="shared" si="1641"/>
        <v>154</v>
      </c>
      <c r="CH433" s="428">
        <f t="shared" si="1641"/>
        <v>168</v>
      </c>
      <c r="CI433" s="428">
        <f t="shared" si="1641"/>
        <v>187</v>
      </c>
      <c r="CJ433" s="429">
        <f t="shared" si="1641"/>
        <v>187</v>
      </c>
      <c r="CK433" s="428">
        <f t="shared" si="1641"/>
        <v>190</v>
      </c>
      <c r="CL433" s="428">
        <f t="shared" si="1641"/>
        <v>204</v>
      </c>
      <c r="CM433" s="428">
        <f t="shared" si="1641"/>
        <v>220</v>
      </c>
      <c r="CN433" s="428">
        <f t="shared" si="1641"/>
        <v>236</v>
      </c>
      <c r="CO433" s="429">
        <f t="shared" si="1641"/>
        <v>236</v>
      </c>
      <c r="CP433" s="428">
        <f t="shared" si="1641"/>
        <v>236</v>
      </c>
      <c r="CQ433" s="428">
        <f t="shared" ref="CQ433:CT433" si="1642">SUM(CQ412:CQ431)</f>
        <v>246</v>
      </c>
      <c r="CR433" s="428">
        <f t="shared" si="1642"/>
        <v>255</v>
      </c>
      <c r="CS433" s="428">
        <f t="shared" si="1642"/>
        <v>273</v>
      </c>
      <c r="CT433" s="429">
        <f t="shared" si="1642"/>
        <v>273</v>
      </c>
      <c r="CU433" s="428"/>
      <c r="CV433" s="428"/>
      <c r="CW433" s="428"/>
      <c r="CX433" s="428"/>
      <c r="CY433" s="429"/>
      <c r="CZ433" s="428"/>
      <c r="DA433" s="428"/>
      <c r="DB433" s="427"/>
      <c r="DC433" s="427"/>
      <c r="DD433" s="426"/>
      <c r="DE433" s="427"/>
      <c r="DF433" s="427"/>
      <c r="DG433" s="427"/>
      <c r="DH433" s="427"/>
      <c r="DI433" s="426"/>
      <c r="DJ433" s="427"/>
      <c r="DK433" s="427"/>
      <c r="DL433" s="427"/>
      <c r="DM433" s="427"/>
      <c r="DN433" s="426"/>
      <c r="DO433" s="427"/>
      <c r="DP433" s="427"/>
      <c r="DQ433" s="427"/>
      <c r="DR433" s="427"/>
      <c r="DS433" s="426"/>
    </row>
    <row r="434" hidden="1" outlineLevel="1" spans="2:123">
      <c r="B434" s="431" t="s">
        <v>458</v>
      </c>
      <c r="C434" s="252"/>
      <c r="D434" s="253"/>
      <c r="E434" s="253"/>
      <c r="F434" s="253"/>
      <c r="G434" s="253"/>
      <c r="H434" s="252"/>
      <c r="I434" s="253"/>
      <c r="J434" s="253"/>
      <c r="K434" s="253"/>
      <c r="L434" s="253"/>
      <c r="M434" s="252"/>
      <c r="N434" s="253"/>
      <c r="O434" s="253"/>
      <c r="P434" s="253"/>
      <c r="Q434" s="253"/>
      <c r="R434" s="252"/>
      <c r="S434" s="253"/>
      <c r="T434" s="253"/>
      <c r="U434" s="253"/>
      <c r="V434" s="151"/>
      <c r="W434" s="150"/>
      <c r="X434" s="151"/>
      <c r="Y434" s="151"/>
      <c r="Z434" s="151"/>
      <c r="AA434" s="151"/>
      <c r="AB434" s="150"/>
      <c r="AC434" s="151"/>
      <c r="AD434" s="151"/>
      <c r="AE434" s="151"/>
      <c r="AF434" s="151"/>
      <c r="AG434" s="150"/>
      <c r="AH434" s="151"/>
      <c r="AI434" s="151">
        <f t="shared" ref="AI434:BQ434" si="1643">SUM(AI412:AI430)/SUM(AD412:AD430)-1</f>
        <v>0.3</v>
      </c>
      <c r="AJ434" s="151">
        <f t="shared" si="1643"/>
        <v>0.272727272727273</v>
      </c>
      <c r="AK434" s="151">
        <f t="shared" si="1643"/>
        <v>0.727272727272727</v>
      </c>
      <c r="AL434" s="150">
        <f t="shared" si="1643"/>
        <v>0.727272727272727</v>
      </c>
      <c r="AM434" s="151">
        <f t="shared" si="1643"/>
        <v>0.583333333333333</v>
      </c>
      <c r="AN434" s="151">
        <f t="shared" si="1643"/>
        <v>0.615384615384615</v>
      </c>
      <c r="AO434" s="151">
        <f t="shared" si="1643"/>
        <v>0.714285714285714</v>
      </c>
      <c r="AP434" s="151">
        <f t="shared" si="1643"/>
        <v>0.315789473684211</v>
      </c>
      <c r="AQ434" s="150">
        <f t="shared" si="1643"/>
        <v>0.315789473684211</v>
      </c>
      <c r="AR434" s="151">
        <f t="shared" si="1643"/>
        <v>0.368421052631579</v>
      </c>
      <c r="AS434" s="151">
        <f t="shared" si="1643"/>
        <v>0.238095238095238</v>
      </c>
      <c r="AT434" s="151">
        <f t="shared" si="1643"/>
        <v>0.166666666666667</v>
      </c>
      <c r="AU434" s="151">
        <f t="shared" si="1643"/>
        <v>0.16</v>
      </c>
      <c r="AV434" s="150">
        <f t="shared" si="1643"/>
        <v>0.16</v>
      </c>
      <c r="AW434" s="151">
        <f t="shared" si="1643"/>
        <v>0.192307692307692</v>
      </c>
      <c r="AX434" s="151">
        <f t="shared" si="1643"/>
        <v>0.192307692307692</v>
      </c>
      <c r="AY434" s="151">
        <f t="shared" si="1643"/>
        <v>0.107142857142857</v>
      </c>
      <c r="AZ434" s="151">
        <f t="shared" si="1643"/>
        <v>0.172413793103448</v>
      </c>
      <c r="BA434" s="150">
        <f t="shared" si="1643"/>
        <v>0.172413793103448</v>
      </c>
      <c r="BB434" s="151">
        <f t="shared" si="1643"/>
        <v>0.096774193548387</v>
      </c>
      <c r="BC434" s="151">
        <f t="shared" si="1643"/>
        <v>0.225806451612903</v>
      </c>
      <c r="BD434" s="151">
        <f t="shared" si="1643"/>
        <v>0.354838709677419</v>
      </c>
      <c r="BE434" s="151">
        <f t="shared" si="1643"/>
        <v>0.264705882352941</v>
      </c>
      <c r="BF434" s="150">
        <f t="shared" si="1643"/>
        <v>0.264705882352941</v>
      </c>
      <c r="BG434" s="151">
        <f t="shared" si="1643"/>
        <v>0.323529411764706</v>
      </c>
      <c r="BH434" s="151">
        <f t="shared" si="1643"/>
        <v>0.236842105263158</v>
      </c>
      <c r="BI434" s="151">
        <f t="shared" si="1643"/>
        <v>0.142857142857143</v>
      </c>
      <c r="BJ434" s="151">
        <f t="shared" si="1643"/>
        <v>0.279069767441861</v>
      </c>
      <c r="BK434" s="150">
        <f t="shared" si="1643"/>
        <v>0.279069767441861</v>
      </c>
      <c r="BL434" s="151">
        <f t="shared" si="1643"/>
        <v>0.288888888888889</v>
      </c>
      <c r="BM434" s="151">
        <f t="shared" si="1643"/>
        <v>0.297872340425532</v>
      </c>
      <c r="BN434" s="151">
        <f t="shared" si="1643"/>
        <v>0.333333333333333</v>
      </c>
      <c r="BO434" s="151">
        <f t="shared" si="1643"/>
        <v>0.290909090909091</v>
      </c>
      <c r="BP434" s="150">
        <f t="shared" si="1643"/>
        <v>0.290909090909091</v>
      </c>
      <c r="BQ434" s="151">
        <f t="shared" si="1643"/>
        <v>0.344827586206897</v>
      </c>
      <c r="BR434" s="151">
        <f>SUM(BR412:BR425)/SUM(BM412:BM430)-1</f>
        <v>0.327868852459016</v>
      </c>
      <c r="BS434" s="151">
        <f>SUM(BS412:BS426)/SUM(BN412:BN430)-1</f>
        <v>0.3125</v>
      </c>
      <c r="BT434" s="151">
        <f>SUM(BT412:BT426)/SUM(BO412:BO430)-1</f>
        <v>0.295774647887324</v>
      </c>
      <c r="BU434" s="150">
        <f>SUM(BU412:BU426)/SUM(BP412:BP430)-1</f>
        <v>0.295774647887324</v>
      </c>
      <c r="BV434" s="151">
        <f>SUM(BV412:BV430)/SUM(BQ412:BQ430)-1</f>
        <v>0.294871794871795</v>
      </c>
      <c r="BW434" s="151">
        <f>SUM(BW412:BW425)/SUM(BR412:BR430)-1</f>
        <v>0.271604938271605</v>
      </c>
      <c r="BX434" s="151">
        <f>SUM(BX412:BX425)/SUM(BS412:BS430)-1</f>
        <v>0.333333333333333</v>
      </c>
      <c r="BY434" s="151">
        <f>SUM(BY412:BY425)/SUM(BT412:BT430)-1</f>
        <v>0.260869565217391</v>
      </c>
      <c r="BZ434" s="150">
        <f>SUM(BZ412:BZ426)/SUM(BU412:BU430)-1</f>
        <v>0.293478260869565</v>
      </c>
      <c r="CA434" s="151">
        <f>SUM(CA412:CA430)/SUM(BV412:BV430)-1</f>
        <v>0.257425742574257</v>
      </c>
      <c r="CB434" s="151">
        <f>SUM(CB412:CB430)/SUM(BW412:BW430)-1</f>
        <v>0.295238095238095</v>
      </c>
      <c r="CC434" s="151">
        <f>SUM(CC412:CC430)/SUM(BX412:BX430)-1</f>
        <v>0.217391304347826</v>
      </c>
      <c r="CD434" s="151">
        <f>SUM(CD412:CD430)/SUM(BY412:BY430)-1</f>
        <v>0.170731707317073</v>
      </c>
      <c r="CE434" s="150">
        <f>SUM(CE412:CE426)/SUM(BZ412:BZ430)-1</f>
        <v>0.138211382113821</v>
      </c>
      <c r="CF434" s="151">
        <f>SUM(CF412:CF430)/SUM(CA412:CA430)-1</f>
        <v>0.149606299212598</v>
      </c>
      <c r="CG434" s="253">
        <f>SUM(CG412:CG430)/SUM(CB412:CB430)-1</f>
        <v>0.132352941176471</v>
      </c>
      <c r="CH434" s="151">
        <f>SUM(CH412:CH430)/SUM(CC412:CC430)-1</f>
        <v>0.2</v>
      </c>
      <c r="CI434" s="151">
        <f>SUM(CI412:CI430)/SUM(CD412:CD430)-1</f>
        <v>0.298611111111111</v>
      </c>
      <c r="CJ434" s="150">
        <f>SUM(CJ412:CJ426)/SUM(CE412:CE430)-1</f>
        <v>0.270833333333333</v>
      </c>
      <c r="CK434" s="151">
        <f t="shared" ref="CK434:CR434" si="1644">SUM(CK412:CK430)/SUM(CF412:CF430)-1</f>
        <v>0.301369863013699</v>
      </c>
      <c r="CL434" s="253">
        <f t="shared" si="1644"/>
        <v>0.324675324675325</v>
      </c>
      <c r="CM434" s="151">
        <f t="shared" si="1644"/>
        <v>0.30952380952381</v>
      </c>
      <c r="CN434" s="151">
        <f t="shared" si="1644"/>
        <v>0.262032085561497</v>
      </c>
      <c r="CO434" s="150">
        <f t="shared" si="1644"/>
        <v>0.262032085561497</v>
      </c>
      <c r="CP434" s="151">
        <f t="shared" si="1644"/>
        <v>0.242105263157895</v>
      </c>
      <c r="CQ434" s="151">
        <f t="shared" si="1644"/>
        <v>0.200980392156863</v>
      </c>
      <c r="CR434" s="151">
        <f t="shared" si="1644"/>
        <v>0.154545454545455</v>
      </c>
      <c r="CS434" s="151">
        <f t="shared" ref="CS434:CT434" si="1645">SUM(CS412:CS430)/SUM(CN412:CN430)-1</f>
        <v>0.152542372881356</v>
      </c>
      <c r="CT434" s="150">
        <f t="shared" si="1645"/>
        <v>0.152542372881356</v>
      </c>
      <c r="CU434" s="151"/>
      <c r="CV434" s="151"/>
      <c r="CW434" s="151"/>
      <c r="CX434" s="151"/>
      <c r="CY434" s="150"/>
      <c r="CZ434" s="151"/>
      <c r="DA434" s="151"/>
      <c r="DB434" s="247"/>
      <c r="DC434" s="247"/>
      <c r="DD434" s="246"/>
      <c r="DE434" s="247"/>
      <c r="DF434" s="247"/>
      <c r="DG434" s="247"/>
      <c r="DH434" s="247"/>
      <c r="DI434" s="246"/>
      <c r="DJ434" s="247"/>
      <c r="DK434" s="247"/>
      <c r="DL434" s="247"/>
      <c r="DM434" s="247"/>
      <c r="DN434" s="246"/>
      <c r="DO434" s="247"/>
      <c r="DP434" s="247"/>
      <c r="DQ434" s="247"/>
      <c r="DR434" s="247"/>
      <c r="DS434" s="246"/>
    </row>
    <row r="435" hidden="1" outlineLevel="1" spans="2:123">
      <c r="B435" s="432" t="s">
        <v>305</v>
      </c>
      <c r="C435" s="246"/>
      <c r="D435" s="247"/>
      <c r="E435" s="247"/>
      <c r="F435" s="247"/>
      <c r="G435" s="247"/>
      <c r="H435" s="246"/>
      <c r="I435" s="247"/>
      <c r="J435" s="247"/>
      <c r="K435" s="247"/>
      <c r="L435" s="247"/>
      <c r="M435" s="246"/>
      <c r="N435" s="247"/>
      <c r="O435" s="247"/>
      <c r="P435" s="247"/>
      <c r="Q435" s="433"/>
      <c r="R435" s="246"/>
      <c r="S435" s="401">
        <f>S433-Q433</f>
        <v>0</v>
      </c>
      <c r="T435" s="401">
        <f>T433-S433</f>
        <v>-3</v>
      </c>
      <c r="U435" s="401">
        <f>U433-T433</f>
        <v>-1</v>
      </c>
      <c r="V435" s="401">
        <f>V433-U433</f>
        <v>0</v>
      </c>
      <c r="W435" s="408">
        <f>W433-R433</f>
        <v>-4</v>
      </c>
      <c r="X435" s="401">
        <f>X433-V433</f>
        <v>0</v>
      </c>
      <c r="Y435" s="401">
        <f>Y433-X433</f>
        <v>0</v>
      </c>
      <c r="Z435" s="401">
        <f>Z433-Y433</f>
        <v>0</v>
      </c>
      <c r="AA435" s="401">
        <f>AA433-Z433</f>
        <v>0</v>
      </c>
      <c r="AB435" s="408">
        <f>AB433-W433</f>
        <v>0</v>
      </c>
      <c r="AC435" s="401">
        <f>AC433-AA433</f>
        <v>0</v>
      </c>
      <c r="AD435" s="401">
        <f>AD433-AC433</f>
        <v>10</v>
      </c>
      <c r="AE435" s="401">
        <f>AE433-AD433</f>
        <v>1</v>
      </c>
      <c r="AF435" s="401">
        <f>AF433-AE433</f>
        <v>0</v>
      </c>
      <c r="AG435" s="408">
        <f>AG433-AB433</f>
        <v>11</v>
      </c>
      <c r="AH435" s="401">
        <f>AH433-AF433</f>
        <v>1</v>
      </c>
      <c r="AI435" s="401">
        <f>AI433-AH433</f>
        <v>1</v>
      </c>
      <c r="AJ435" s="401">
        <f>AJ433-AI433</f>
        <v>1</v>
      </c>
      <c r="AK435" s="401">
        <f>AK433-AJ433</f>
        <v>5</v>
      </c>
      <c r="AL435" s="408">
        <f>AL433-AG433</f>
        <v>8</v>
      </c>
      <c r="AM435" s="401">
        <f>AM433-AK433</f>
        <v>0</v>
      </c>
      <c r="AN435" s="401">
        <f>AN433-AM433</f>
        <v>2</v>
      </c>
      <c r="AO435" s="401">
        <f>AO433-AN433</f>
        <v>3</v>
      </c>
      <c r="AP435" s="401">
        <f>AP433-AO433</f>
        <v>1</v>
      </c>
      <c r="AQ435" s="408">
        <f>AQ433-AL433</f>
        <v>6</v>
      </c>
      <c r="AR435" s="401">
        <f>AR433-AP433</f>
        <v>1</v>
      </c>
      <c r="AS435" s="401">
        <f>AS433-AR433</f>
        <v>0</v>
      </c>
      <c r="AT435" s="401">
        <f>AT433-AS433</f>
        <v>2</v>
      </c>
      <c r="AU435" s="401">
        <f>AU433-AT433</f>
        <v>1</v>
      </c>
      <c r="AV435" s="408">
        <f>AV433-AQ433</f>
        <v>4</v>
      </c>
      <c r="AW435" s="401">
        <f>AW433-AU433</f>
        <v>2</v>
      </c>
      <c r="AX435" s="401">
        <f>AX433-AW433</f>
        <v>0</v>
      </c>
      <c r="AY435" s="401">
        <f>AY433-AX433</f>
        <v>0</v>
      </c>
      <c r="AZ435" s="401">
        <f>AZ433-AY433</f>
        <v>3</v>
      </c>
      <c r="BA435" s="408">
        <f>BA433-AV433</f>
        <v>5</v>
      </c>
      <c r="BB435" s="401">
        <f>BB433-AZ433</f>
        <v>0</v>
      </c>
      <c r="BC435" s="401">
        <f>BC433-BB433</f>
        <v>4</v>
      </c>
      <c r="BD435" s="401">
        <f>BD433-BC433</f>
        <v>4</v>
      </c>
      <c r="BE435" s="401">
        <f>BE433-BD433</f>
        <v>1</v>
      </c>
      <c r="BF435" s="408">
        <f>BF433-BA433</f>
        <v>9</v>
      </c>
      <c r="BG435" s="401">
        <f>BG433-BE433</f>
        <v>2</v>
      </c>
      <c r="BH435" s="401">
        <f>BH433-BG433</f>
        <v>2</v>
      </c>
      <c r="BI435" s="401">
        <f>BI433-BH433</f>
        <v>1</v>
      </c>
      <c r="BJ435" s="401">
        <f>BJ433-BI433</f>
        <v>7</v>
      </c>
      <c r="BK435" s="408">
        <f>BK433-BF433</f>
        <v>12</v>
      </c>
      <c r="BL435" s="401">
        <f>BL433-BJ433</f>
        <v>3</v>
      </c>
      <c r="BM435" s="401">
        <f>BM433-BL433</f>
        <v>3</v>
      </c>
      <c r="BN435" s="401">
        <f>BN433-BM433</f>
        <v>3</v>
      </c>
      <c r="BO435" s="401">
        <f>BO433-BN433</f>
        <v>7</v>
      </c>
      <c r="BP435" s="408">
        <f>BP433-BK433</f>
        <v>16</v>
      </c>
      <c r="BQ435" s="401">
        <f>BQ433-BP433</f>
        <v>7</v>
      </c>
      <c r="BR435" s="401">
        <f>BR433-BQ433</f>
        <v>3</v>
      </c>
      <c r="BS435" s="401">
        <f>BS433-BR433</f>
        <v>3</v>
      </c>
      <c r="BT435" s="401">
        <f>BT433-BS433</f>
        <v>8</v>
      </c>
      <c r="BU435" s="408">
        <f>BU433-BP433</f>
        <v>21</v>
      </c>
      <c r="BV435" s="401">
        <f>BV433-BU433</f>
        <v>9</v>
      </c>
      <c r="BW435" s="401">
        <f>BW433-BV433</f>
        <v>4</v>
      </c>
      <c r="BX435" s="401">
        <f>BX433-BW433</f>
        <v>10</v>
      </c>
      <c r="BY435" s="401">
        <f>BY433-BX433</f>
        <v>8</v>
      </c>
      <c r="BZ435" s="408">
        <f>BZ433-BU433</f>
        <v>31</v>
      </c>
      <c r="CA435" s="401">
        <f>CA433-BZ433</f>
        <v>4</v>
      </c>
      <c r="CB435" s="401">
        <f>CB433-CA433</f>
        <v>9</v>
      </c>
      <c r="CC435" s="401">
        <f>CC433-CB433</f>
        <v>4</v>
      </c>
      <c r="CD435" s="401">
        <f>CD433-CC433</f>
        <v>4</v>
      </c>
      <c r="CE435" s="408">
        <f>CE433-BZ433</f>
        <v>21</v>
      </c>
      <c r="CF435" s="401">
        <f>CF433-CE433</f>
        <v>2</v>
      </c>
      <c r="CG435" s="401">
        <f>CG433-CF433</f>
        <v>8</v>
      </c>
      <c r="CH435" s="401">
        <f>CH433-CG433</f>
        <v>14</v>
      </c>
      <c r="CI435" s="401">
        <f>CI433-CH433</f>
        <v>19</v>
      </c>
      <c r="CJ435" s="408">
        <f>CJ433-CE433</f>
        <v>43</v>
      </c>
      <c r="CK435" s="401">
        <f>CK433-CJ433</f>
        <v>3</v>
      </c>
      <c r="CL435" s="401">
        <f>CL433-CK433</f>
        <v>14</v>
      </c>
      <c r="CM435" s="401">
        <f>CM433-CL433</f>
        <v>16</v>
      </c>
      <c r="CN435" s="401">
        <f>CN433-CM433</f>
        <v>16</v>
      </c>
      <c r="CO435" s="408">
        <f>CO433-CJ433</f>
        <v>49</v>
      </c>
      <c r="CP435" s="401">
        <f>CP433-CO433</f>
        <v>0</v>
      </c>
      <c r="CQ435" s="401">
        <f>CQ433-CP433</f>
        <v>10</v>
      </c>
      <c r="CR435" s="401">
        <f>CR433-CQ433</f>
        <v>9</v>
      </c>
      <c r="CS435" s="401">
        <f>CS433-CR433</f>
        <v>18</v>
      </c>
      <c r="CT435" s="408">
        <f>CT433-CO433</f>
        <v>37</v>
      </c>
      <c r="CU435" s="401"/>
      <c r="CV435" s="401"/>
      <c r="CW435" s="401"/>
      <c r="CX435" s="401"/>
      <c r="CY435" s="408"/>
      <c r="CZ435" s="401"/>
      <c r="DA435" s="401"/>
      <c r="DB435" s="247"/>
      <c r="DC435" s="247"/>
      <c r="DD435" s="246"/>
      <c r="DE435" s="247"/>
      <c r="DF435" s="247"/>
      <c r="DG435" s="247"/>
      <c r="DH435" s="247"/>
      <c r="DI435" s="246"/>
      <c r="DJ435" s="247"/>
      <c r="DK435" s="247"/>
      <c r="DL435" s="247"/>
      <c r="DM435" s="247"/>
      <c r="DN435" s="246"/>
      <c r="DO435" s="247"/>
      <c r="DP435" s="247"/>
      <c r="DQ435" s="247"/>
      <c r="DR435" s="247"/>
      <c r="DS435" s="246"/>
    </row>
    <row r="436" hidden="1" outlineLevel="1" spans="2:123">
      <c r="B436" s="277"/>
      <c r="C436" s="246"/>
      <c r="D436" s="247"/>
      <c r="E436" s="247"/>
      <c r="F436" s="247"/>
      <c r="G436" s="247"/>
      <c r="H436" s="246"/>
      <c r="I436" s="247"/>
      <c r="J436" s="247"/>
      <c r="K436" s="247"/>
      <c r="L436" s="247"/>
      <c r="M436" s="246"/>
      <c r="N436" s="247"/>
      <c r="O436" s="247"/>
      <c r="P436" s="247"/>
      <c r="Q436" s="435"/>
      <c r="R436" s="246"/>
      <c r="S436" s="435"/>
      <c r="T436" s="435"/>
      <c r="U436" s="435"/>
      <c r="V436" s="435"/>
      <c r="W436" s="246"/>
      <c r="X436" s="435"/>
      <c r="Y436" s="435"/>
      <c r="Z436" s="435"/>
      <c r="AA436" s="435"/>
      <c r="AB436" s="246"/>
      <c r="AC436" s="435"/>
      <c r="AD436" s="435"/>
      <c r="AE436" s="435"/>
      <c r="AF436" s="435"/>
      <c r="AG436" s="246"/>
      <c r="AH436" s="435"/>
      <c r="AI436" s="435"/>
      <c r="AJ436" s="435"/>
      <c r="AK436" s="435"/>
      <c r="AL436" s="246"/>
      <c r="AM436" s="435"/>
      <c r="AN436" s="435"/>
      <c r="AO436" s="435"/>
      <c r="AP436" s="435"/>
      <c r="AQ436" s="246"/>
      <c r="AR436" s="435"/>
      <c r="AS436" s="435"/>
      <c r="AT436" s="435"/>
      <c r="AU436" s="435"/>
      <c r="AV436" s="246"/>
      <c r="AW436" s="435"/>
      <c r="AX436" s="435"/>
      <c r="AY436" s="435"/>
      <c r="AZ436" s="435"/>
      <c r="BA436" s="246"/>
      <c r="BB436" s="435"/>
      <c r="BC436" s="435"/>
      <c r="BD436" s="435"/>
      <c r="BE436" s="435"/>
      <c r="BF436" s="246"/>
      <c r="BG436" s="435"/>
      <c r="BH436" s="435"/>
      <c r="BI436" s="435"/>
      <c r="BJ436" s="435"/>
      <c r="BK436" s="246"/>
      <c r="BL436" s="435"/>
      <c r="BM436" s="435"/>
      <c r="BN436" s="435"/>
      <c r="BO436" s="247"/>
      <c r="BP436" s="246"/>
      <c r="BQ436" s="247"/>
      <c r="BR436" s="247"/>
      <c r="BS436" s="247"/>
      <c r="BT436" s="247"/>
      <c r="BU436" s="246"/>
      <c r="BV436" s="247"/>
      <c r="BW436" s="247"/>
      <c r="BX436" s="247"/>
      <c r="BY436" s="247"/>
      <c r="BZ436" s="246"/>
      <c r="CA436" s="433"/>
      <c r="CB436" s="247"/>
      <c r="CC436" s="247"/>
      <c r="CD436" s="247"/>
      <c r="CE436" s="246"/>
      <c r="CF436" s="433"/>
      <c r="CG436" s="247"/>
      <c r="CH436" s="247"/>
      <c r="CI436" s="247"/>
      <c r="CJ436" s="246"/>
      <c r="CK436" s="247"/>
      <c r="CL436" s="247"/>
      <c r="CM436" s="247"/>
      <c r="CN436" s="247"/>
      <c r="CO436" s="246"/>
      <c r="CP436" s="247"/>
      <c r="CQ436" s="247"/>
      <c r="CR436" s="247"/>
      <c r="CS436" s="247"/>
      <c r="CT436" s="246"/>
      <c r="CU436" s="247"/>
      <c r="CV436" s="247"/>
      <c r="CW436" s="247"/>
      <c r="CX436" s="247"/>
      <c r="CY436" s="246"/>
      <c r="CZ436" s="247"/>
      <c r="DA436" s="247"/>
      <c r="DB436" s="247"/>
      <c r="DC436" s="247"/>
      <c r="DD436" s="246"/>
      <c r="DE436" s="247"/>
      <c r="DF436" s="247"/>
      <c r="DG436" s="247"/>
      <c r="DH436" s="247"/>
      <c r="DI436" s="246"/>
      <c r="DJ436" s="247"/>
      <c r="DK436" s="247"/>
      <c r="DL436" s="247"/>
      <c r="DM436" s="247"/>
      <c r="DN436" s="246"/>
      <c r="DO436" s="247"/>
      <c r="DP436" s="247"/>
      <c r="DQ436" s="247"/>
      <c r="DR436" s="247"/>
      <c r="DS436" s="246"/>
    </row>
    <row r="437" s="3" customFormat="1" hidden="1" outlineLevel="1" spans="2:123">
      <c r="B437" s="425" t="s">
        <v>459</v>
      </c>
      <c r="C437" s="426"/>
      <c r="D437" s="427"/>
      <c r="E437" s="427"/>
      <c r="F437" s="427"/>
      <c r="G437" s="427"/>
      <c r="H437" s="426"/>
      <c r="I437" s="427"/>
      <c r="J437" s="427"/>
      <c r="K437" s="427"/>
      <c r="L437" s="427"/>
      <c r="M437" s="426"/>
      <c r="N437" s="427"/>
      <c r="O437" s="427"/>
      <c r="P437" s="427"/>
      <c r="Q437" s="428">
        <f t="shared" ref="Q437:AV437" si="1646">SUM(Q408,Q433)</f>
        <v>71</v>
      </c>
      <c r="R437" s="429">
        <f t="shared" si="1646"/>
        <v>71</v>
      </c>
      <c r="S437" s="428">
        <f t="shared" si="1646"/>
        <v>74</v>
      </c>
      <c r="T437" s="428">
        <f t="shared" si="1646"/>
        <v>80</v>
      </c>
      <c r="U437" s="428">
        <f t="shared" si="1646"/>
        <v>98</v>
      </c>
      <c r="V437" s="428">
        <f t="shared" si="1646"/>
        <v>103</v>
      </c>
      <c r="W437" s="429">
        <f t="shared" si="1646"/>
        <v>103</v>
      </c>
      <c r="X437" s="428">
        <f t="shared" si="1646"/>
        <v>103</v>
      </c>
      <c r="Y437" s="428">
        <f t="shared" si="1646"/>
        <v>104</v>
      </c>
      <c r="Z437" s="428">
        <f t="shared" si="1646"/>
        <v>106</v>
      </c>
      <c r="AA437" s="428">
        <f t="shared" si="1646"/>
        <v>110</v>
      </c>
      <c r="AB437" s="429">
        <f t="shared" si="1646"/>
        <v>110</v>
      </c>
      <c r="AC437" s="428">
        <f t="shared" si="1646"/>
        <v>111</v>
      </c>
      <c r="AD437" s="428">
        <f t="shared" si="1646"/>
        <v>123</v>
      </c>
      <c r="AE437" s="428">
        <f t="shared" si="1646"/>
        <v>127</v>
      </c>
      <c r="AF437" s="428">
        <f t="shared" si="1646"/>
        <v>131</v>
      </c>
      <c r="AG437" s="429">
        <f t="shared" si="1646"/>
        <v>131</v>
      </c>
      <c r="AH437" s="428">
        <f t="shared" si="1646"/>
        <v>135</v>
      </c>
      <c r="AI437" s="428">
        <f t="shared" si="1646"/>
        <v>144</v>
      </c>
      <c r="AJ437" s="428">
        <f t="shared" si="1646"/>
        <v>162</v>
      </c>
      <c r="AK437" s="428">
        <f t="shared" si="1646"/>
        <v>169</v>
      </c>
      <c r="AL437" s="429">
        <f t="shared" si="1646"/>
        <v>169</v>
      </c>
      <c r="AM437" s="428">
        <f t="shared" si="1646"/>
        <v>173</v>
      </c>
      <c r="AN437" s="428">
        <f t="shared" si="1646"/>
        <v>182</v>
      </c>
      <c r="AO437" s="428">
        <f t="shared" si="1646"/>
        <v>194</v>
      </c>
      <c r="AP437" s="428">
        <f t="shared" si="1646"/>
        <v>203</v>
      </c>
      <c r="AQ437" s="429">
        <f t="shared" si="1646"/>
        <v>203</v>
      </c>
      <c r="AR437" s="428">
        <f t="shared" si="1646"/>
        <v>210</v>
      </c>
      <c r="AS437" s="428">
        <f t="shared" si="1646"/>
        <v>217</v>
      </c>
      <c r="AT437" s="428">
        <f t="shared" si="1646"/>
        <v>236</v>
      </c>
      <c r="AU437" s="428">
        <f t="shared" si="1646"/>
        <v>242</v>
      </c>
      <c r="AV437" s="429">
        <f t="shared" si="1646"/>
        <v>242</v>
      </c>
      <c r="AW437" s="428">
        <f t="shared" ref="AW437:CB437" si="1647">SUM(AW408,AW433)</f>
        <v>247</v>
      </c>
      <c r="AX437" s="428">
        <f t="shared" si="1647"/>
        <v>252</v>
      </c>
      <c r="AY437" s="428">
        <f t="shared" si="1647"/>
        <v>268</v>
      </c>
      <c r="AZ437" s="428">
        <f t="shared" si="1647"/>
        <v>280</v>
      </c>
      <c r="BA437" s="429">
        <f t="shared" si="1647"/>
        <v>280</v>
      </c>
      <c r="BB437" s="428">
        <f t="shared" si="1647"/>
        <v>287</v>
      </c>
      <c r="BC437" s="428">
        <f t="shared" si="1647"/>
        <v>301</v>
      </c>
      <c r="BD437" s="428">
        <f t="shared" si="1647"/>
        <v>313</v>
      </c>
      <c r="BE437" s="428">
        <f t="shared" si="1647"/>
        <v>320</v>
      </c>
      <c r="BF437" s="429">
        <f t="shared" si="1647"/>
        <v>320</v>
      </c>
      <c r="BG437" s="428">
        <f t="shared" si="1647"/>
        <v>324</v>
      </c>
      <c r="BH437" s="428">
        <f t="shared" si="1647"/>
        <v>327</v>
      </c>
      <c r="BI437" s="428">
        <f t="shared" si="1647"/>
        <v>335</v>
      </c>
      <c r="BJ437" s="428">
        <f t="shared" si="1647"/>
        <v>351</v>
      </c>
      <c r="BK437" s="429">
        <f t="shared" si="1647"/>
        <v>351</v>
      </c>
      <c r="BL437" s="428">
        <f t="shared" si="1647"/>
        <v>356</v>
      </c>
      <c r="BM437" s="428">
        <f t="shared" si="1647"/>
        <v>366</v>
      </c>
      <c r="BN437" s="428">
        <f t="shared" si="1647"/>
        <v>381</v>
      </c>
      <c r="BO437" s="428">
        <f t="shared" si="1647"/>
        <v>397</v>
      </c>
      <c r="BP437" s="429">
        <f t="shared" si="1647"/>
        <v>397</v>
      </c>
      <c r="BQ437" s="428">
        <f t="shared" si="1647"/>
        <v>404</v>
      </c>
      <c r="BR437" s="428">
        <f t="shared" si="1647"/>
        <v>408</v>
      </c>
      <c r="BS437" s="428">
        <f t="shared" si="1647"/>
        <v>419</v>
      </c>
      <c r="BT437" s="428">
        <f t="shared" si="1647"/>
        <v>433</v>
      </c>
      <c r="BU437" s="429">
        <f t="shared" si="1647"/>
        <v>433</v>
      </c>
      <c r="BV437" s="428">
        <f t="shared" si="1647"/>
        <v>448</v>
      </c>
      <c r="BW437" s="428">
        <f t="shared" si="1647"/>
        <v>453</v>
      </c>
      <c r="BX437" s="428">
        <f t="shared" si="1647"/>
        <v>473</v>
      </c>
      <c r="BY437" s="428">
        <f t="shared" si="1647"/>
        <v>487</v>
      </c>
      <c r="BZ437" s="429">
        <f t="shared" si="1647"/>
        <v>487</v>
      </c>
      <c r="CA437" s="428">
        <f t="shared" si="1647"/>
        <v>489</v>
      </c>
      <c r="CB437" s="428">
        <f t="shared" si="1647"/>
        <v>506</v>
      </c>
      <c r="CC437" s="428">
        <f t="shared" ref="CC437:CT437" si="1648">SUM(CC408,CC433)</f>
        <v>515</v>
      </c>
      <c r="CD437" s="428">
        <f t="shared" si="1648"/>
        <v>521</v>
      </c>
      <c r="CE437" s="429">
        <f t="shared" si="1648"/>
        <v>521</v>
      </c>
      <c r="CF437" s="428">
        <f t="shared" si="1648"/>
        <v>523</v>
      </c>
      <c r="CG437" s="428">
        <f t="shared" si="1648"/>
        <v>534</v>
      </c>
      <c r="CH437" s="428">
        <f t="shared" si="1648"/>
        <v>552</v>
      </c>
      <c r="CI437" s="428">
        <f t="shared" si="1648"/>
        <v>574</v>
      </c>
      <c r="CJ437" s="429">
        <f t="shared" si="1648"/>
        <v>574</v>
      </c>
      <c r="CK437" s="428">
        <f t="shared" si="1648"/>
        <v>579</v>
      </c>
      <c r="CL437" s="428">
        <f t="shared" si="1648"/>
        <v>600</v>
      </c>
      <c r="CM437" s="428">
        <f t="shared" si="1648"/>
        <v>623</v>
      </c>
      <c r="CN437" s="428">
        <f t="shared" si="1648"/>
        <v>655</v>
      </c>
      <c r="CO437" s="429">
        <f t="shared" si="1648"/>
        <v>655</v>
      </c>
      <c r="CP437" s="428">
        <f t="shared" si="1648"/>
        <v>662</v>
      </c>
      <c r="CQ437" s="428">
        <f t="shared" si="1648"/>
        <v>672</v>
      </c>
      <c r="CR437" s="428">
        <f t="shared" si="1648"/>
        <v>686</v>
      </c>
      <c r="CS437" s="428">
        <f t="shared" si="1648"/>
        <v>711</v>
      </c>
      <c r="CT437" s="429">
        <f t="shared" si="1648"/>
        <v>711</v>
      </c>
      <c r="CU437" s="428"/>
      <c r="CV437" s="428"/>
      <c r="CW437" s="428"/>
      <c r="CX437" s="428"/>
      <c r="CY437" s="429"/>
      <c r="CZ437" s="428"/>
      <c r="DA437" s="428"/>
      <c r="DB437" s="427"/>
      <c r="DC437" s="427"/>
      <c r="DD437" s="426"/>
      <c r="DE437" s="427"/>
      <c r="DF437" s="427"/>
      <c r="DG437" s="427"/>
      <c r="DH437" s="427"/>
      <c r="DI437" s="426"/>
      <c r="DJ437" s="427"/>
      <c r="DK437" s="427"/>
      <c r="DL437" s="427"/>
      <c r="DM437" s="427"/>
      <c r="DN437" s="426"/>
      <c r="DO437" s="427"/>
      <c r="DP437" s="427"/>
      <c r="DQ437" s="427"/>
      <c r="DR437" s="427"/>
      <c r="DS437" s="426"/>
    </row>
    <row r="438" hidden="1" outlineLevel="1" spans="2:123">
      <c r="B438" s="431" t="s">
        <v>460</v>
      </c>
      <c r="C438" s="252"/>
      <c r="D438" s="253"/>
      <c r="E438" s="253"/>
      <c r="F438" s="253"/>
      <c r="G438" s="253"/>
      <c r="H438" s="252"/>
      <c r="I438" s="253"/>
      <c r="J438" s="253"/>
      <c r="K438" s="253"/>
      <c r="L438" s="253"/>
      <c r="M438" s="252"/>
      <c r="N438" s="253"/>
      <c r="O438" s="253"/>
      <c r="P438" s="253"/>
      <c r="Q438" s="253"/>
      <c r="R438" s="252"/>
      <c r="S438" s="253"/>
      <c r="T438" s="253"/>
      <c r="U438" s="253"/>
      <c r="V438" s="151">
        <f t="shared" ref="V438:BT438" si="1649">V437/Q437-1</f>
        <v>0.450704225352113</v>
      </c>
      <c r="W438" s="150">
        <f t="shared" si="1649"/>
        <v>0.450704225352113</v>
      </c>
      <c r="X438" s="151">
        <f t="shared" si="1649"/>
        <v>0.391891891891892</v>
      </c>
      <c r="Y438" s="151">
        <f t="shared" si="1649"/>
        <v>0.3</v>
      </c>
      <c r="Z438" s="151">
        <f t="shared" si="1649"/>
        <v>0.0816326530612246</v>
      </c>
      <c r="AA438" s="151">
        <f t="shared" si="1649"/>
        <v>0.0679611650485437</v>
      </c>
      <c r="AB438" s="150">
        <f t="shared" si="1649"/>
        <v>0.0679611650485437</v>
      </c>
      <c r="AC438" s="151">
        <f t="shared" si="1649"/>
        <v>0.0776699029126213</v>
      </c>
      <c r="AD438" s="151">
        <f t="shared" si="1649"/>
        <v>0.182692307692308</v>
      </c>
      <c r="AE438" s="151">
        <f t="shared" si="1649"/>
        <v>0.19811320754717</v>
      </c>
      <c r="AF438" s="151">
        <f t="shared" si="1649"/>
        <v>0.190909090909091</v>
      </c>
      <c r="AG438" s="150">
        <f t="shared" si="1649"/>
        <v>0.190909090909091</v>
      </c>
      <c r="AH438" s="151">
        <f t="shared" si="1649"/>
        <v>0.216216216216216</v>
      </c>
      <c r="AI438" s="151">
        <f t="shared" si="1649"/>
        <v>0.170731707317073</v>
      </c>
      <c r="AJ438" s="151">
        <f t="shared" si="1649"/>
        <v>0.275590551181102</v>
      </c>
      <c r="AK438" s="151">
        <f t="shared" si="1649"/>
        <v>0.290076335877863</v>
      </c>
      <c r="AL438" s="150">
        <f t="shared" si="1649"/>
        <v>0.290076335877863</v>
      </c>
      <c r="AM438" s="151">
        <f t="shared" si="1649"/>
        <v>0.281481481481481</v>
      </c>
      <c r="AN438" s="151">
        <f t="shared" si="1649"/>
        <v>0.263888888888889</v>
      </c>
      <c r="AO438" s="151">
        <f t="shared" si="1649"/>
        <v>0.197530864197531</v>
      </c>
      <c r="AP438" s="151">
        <f t="shared" si="1649"/>
        <v>0.201183431952663</v>
      </c>
      <c r="AQ438" s="150">
        <f t="shared" si="1649"/>
        <v>0.201183431952663</v>
      </c>
      <c r="AR438" s="151">
        <f t="shared" si="1649"/>
        <v>0.213872832369942</v>
      </c>
      <c r="AS438" s="151">
        <f t="shared" si="1649"/>
        <v>0.192307692307692</v>
      </c>
      <c r="AT438" s="151">
        <f t="shared" si="1649"/>
        <v>0.216494845360825</v>
      </c>
      <c r="AU438" s="151">
        <f t="shared" si="1649"/>
        <v>0.192118226600985</v>
      </c>
      <c r="AV438" s="150">
        <f t="shared" si="1649"/>
        <v>0.192118226600985</v>
      </c>
      <c r="AW438" s="151">
        <f t="shared" si="1649"/>
        <v>0.176190476190476</v>
      </c>
      <c r="AX438" s="151">
        <f t="shared" si="1649"/>
        <v>0.161290322580645</v>
      </c>
      <c r="AY438" s="151">
        <f t="shared" si="1649"/>
        <v>0.135593220338983</v>
      </c>
      <c r="AZ438" s="151">
        <f t="shared" si="1649"/>
        <v>0.15702479338843</v>
      </c>
      <c r="BA438" s="150">
        <f t="shared" si="1649"/>
        <v>0.15702479338843</v>
      </c>
      <c r="BB438" s="151">
        <f t="shared" si="1649"/>
        <v>0.161943319838057</v>
      </c>
      <c r="BC438" s="151">
        <f t="shared" si="1649"/>
        <v>0.194444444444444</v>
      </c>
      <c r="BD438" s="151">
        <f t="shared" si="1649"/>
        <v>0.167910447761194</v>
      </c>
      <c r="BE438" s="151">
        <f t="shared" si="1649"/>
        <v>0.142857142857143</v>
      </c>
      <c r="BF438" s="150">
        <f t="shared" si="1649"/>
        <v>0.142857142857143</v>
      </c>
      <c r="BG438" s="151">
        <f t="shared" si="1649"/>
        <v>0.128919860627178</v>
      </c>
      <c r="BH438" s="151">
        <f t="shared" si="1649"/>
        <v>0.0863787375415281</v>
      </c>
      <c r="BI438" s="151">
        <f t="shared" si="1649"/>
        <v>0.0702875399361023</v>
      </c>
      <c r="BJ438" s="151">
        <f t="shared" si="1649"/>
        <v>0.096875</v>
      </c>
      <c r="BK438" s="150">
        <f t="shared" si="1649"/>
        <v>0.096875</v>
      </c>
      <c r="BL438" s="151">
        <f t="shared" si="1649"/>
        <v>0.0987654320987654</v>
      </c>
      <c r="BM438" s="151">
        <f t="shared" si="1649"/>
        <v>0.119266055045872</v>
      </c>
      <c r="BN438" s="151">
        <f t="shared" si="1649"/>
        <v>0.137313432835821</v>
      </c>
      <c r="BO438" s="151">
        <f t="shared" si="1649"/>
        <v>0.131054131054131</v>
      </c>
      <c r="BP438" s="150">
        <f t="shared" si="1649"/>
        <v>0.131054131054131</v>
      </c>
      <c r="BQ438" s="151">
        <f t="shared" si="1649"/>
        <v>0.134831460674157</v>
      </c>
      <c r="BR438" s="151">
        <f t="shared" si="1649"/>
        <v>0.114754098360656</v>
      </c>
      <c r="BS438" s="151">
        <f t="shared" si="1649"/>
        <v>0.0997375328083989</v>
      </c>
      <c r="BT438" s="151">
        <f t="shared" si="1649"/>
        <v>0.0906801007556675</v>
      </c>
      <c r="BU438" s="150">
        <f t="shared" ref="BU438:CI438" si="1650">BU437/BP437-1</f>
        <v>0.0906801007556675</v>
      </c>
      <c r="BV438" s="151">
        <f t="shared" si="1650"/>
        <v>0.108910891089109</v>
      </c>
      <c r="BW438" s="151">
        <f t="shared" si="1650"/>
        <v>0.110294117647059</v>
      </c>
      <c r="BX438" s="151">
        <f t="shared" si="1650"/>
        <v>0.128878281622912</v>
      </c>
      <c r="BY438" s="151">
        <f t="shared" si="1650"/>
        <v>0.124711316397229</v>
      </c>
      <c r="BZ438" s="150">
        <f t="shared" si="1650"/>
        <v>0.124711316397229</v>
      </c>
      <c r="CA438" s="151">
        <f t="shared" si="1650"/>
        <v>0.0915178571428572</v>
      </c>
      <c r="CB438" s="151">
        <f t="shared" si="1650"/>
        <v>0.116997792494481</v>
      </c>
      <c r="CC438" s="151">
        <f t="shared" si="1650"/>
        <v>0.0887949260042282</v>
      </c>
      <c r="CD438" s="151">
        <f t="shared" si="1650"/>
        <v>0.0698151950718686</v>
      </c>
      <c r="CE438" s="150">
        <f t="shared" si="1650"/>
        <v>0.0698151950718686</v>
      </c>
      <c r="CF438" s="151">
        <f t="shared" si="1650"/>
        <v>0.0695296523517381</v>
      </c>
      <c r="CG438" s="253">
        <f t="shared" si="1650"/>
        <v>0.0553359683794465</v>
      </c>
      <c r="CH438" s="151">
        <f t="shared" si="1650"/>
        <v>0.0718446601941747</v>
      </c>
      <c r="CI438" s="151">
        <f t="shared" si="1650"/>
        <v>0.101727447216891</v>
      </c>
      <c r="CJ438" s="150">
        <f t="shared" ref="CJ438:CR438" si="1651">CJ437/CE437-1</f>
        <v>0.101727447216891</v>
      </c>
      <c r="CK438" s="151">
        <f t="shared" si="1651"/>
        <v>0.107074569789675</v>
      </c>
      <c r="CL438" s="253">
        <f t="shared" si="1651"/>
        <v>0.123595505617978</v>
      </c>
      <c r="CM438" s="151">
        <f t="shared" si="1651"/>
        <v>0.128623188405797</v>
      </c>
      <c r="CN438" s="151">
        <f t="shared" si="1651"/>
        <v>0.141114982578397</v>
      </c>
      <c r="CO438" s="150">
        <f t="shared" si="1651"/>
        <v>0.141114982578397</v>
      </c>
      <c r="CP438" s="151">
        <f t="shared" si="1651"/>
        <v>0.143350604490501</v>
      </c>
      <c r="CQ438" s="151">
        <f t="shared" si="1651"/>
        <v>0.12</v>
      </c>
      <c r="CR438" s="151">
        <f t="shared" si="1651"/>
        <v>0.101123595505618</v>
      </c>
      <c r="CS438" s="151">
        <f t="shared" ref="CS438:CT438" si="1652">CS437/CN437-1</f>
        <v>0.085496183206107</v>
      </c>
      <c r="CT438" s="150">
        <f t="shared" si="1652"/>
        <v>0.085496183206107</v>
      </c>
      <c r="CU438" s="151"/>
      <c r="CV438" s="151"/>
      <c r="CW438" s="151"/>
      <c r="CX438" s="151"/>
      <c r="CY438" s="150"/>
      <c r="CZ438" s="151"/>
      <c r="DA438" s="151"/>
      <c r="DB438" s="247"/>
      <c r="DC438" s="247"/>
      <c r="DD438" s="246"/>
      <c r="DE438" s="247"/>
      <c r="DF438" s="247"/>
      <c r="DG438" s="247"/>
      <c r="DH438" s="247"/>
      <c r="DI438" s="246"/>
      <c r="DJ438" s="247"/>
      <c r="DK438" s="247"/>
      <c r="DL438" s="247"/>
      <c r="DM438" s="247"/>
      <c r="DN438" s="246"/>
      <c r="DO438" s="247"/>
      <c r="DP438" s="247"/>
      <c r="DQ438" s="247"/>
      <c r="DR438" s="247"/>
      <c r="DS438" s="246"/>
    </row>
    <row r="439" hidden="1" outlineLevel="1" spans="2:123">
      <c r="B439" s="432" t="s">
        <v>305</v>
      </c>
      <c r="C439" s="246"/>
      <c r="D439" s="247"/>
      <c r="E439" s="247"/>
      <c r="F439" s="247"/>
      <c r="G439" s="247"/>
      <c r="H439" s="246"/>
      <c r="I439" s="247"/>
      <c r="J439" s="247"/>
      <c r="K439" s="247"/>
      <c r="L439" s="247"/>
      <c r="M439" s="246"/>
      <c r="N439" s="247"/>
      <c r="O439" s="247"/>
      <c r="P439" s="247"/>
      <c r="Q439" s="433"/>
      <c r="R439" s="246"/>
      <c r="S439" s="401">
        <f>S437-Q437</f>
        <v>3</v>
      </c>
      <c r="T439" s="401">
        <f>T437-S437</f>
        <v>6</v>
      </c>
      <c r="U439" s="401">
        <f>U437-T437</f>
        <v>18</v>
      </c>
      <c r="V439" s="401">
        <f>V437-U437</f>
        <v>5</v>
      </c>
      <c r="W439" s="408">
        <f>W437-R437</f>
        <v>32</v>
      </c>
      <c r="X439" s="401">
        <f>X437-V437</f>
        <v>0</v>
      </c>
      <c r="Y439" s="401">
        <f>Y437-X437</f>
        <v>1</v>
      </c>
      <c r="Z439" s="401">
        <f>Z437-Y437</f>
        <v>2</v>
      </c>
      <c r="AA439" s="401">
        <f>AA437-Z437</f>
        <v>4</v>
      </c>
      <c r="AB439" s="408">
        <f>AB437-W437</f>
        <v>7</v>
      </c>
      <c r="AC439" s="401">
        <f>AC437-AA437</f>
        <v>1</v>
      </c>
      <c r="AD439" s="401">
        <f>AD437-AC437</f>
        <v>12</v>
      </c>
      <c r="AE439" s="401">
        <f>AE437-AD437</f>
        <v>4</v>
      </c>
      <c r="AF439" s="401">
        <f>AF437-AE437</f>
        <v>4</v>
      </c>
      <c r="AG439" s="408">
        <f>AG437-AB437</f>
        <v>21</v>
      </c>
      <c r="AH439" s="401">
        <f>AH437-AF437</f>
        <v>4</v>
      </c>
      <c r="AI439" s="401">
        <f>AI437-AH437</f>
        <v>9</v>
      </c>
      <c r="AJ439" s="401">
        <f>AJ437-AI437</f>
        <v>18</v>
      </c>
      <c r="AK439" s="401">
        <f>AK437-AJ437</f>
        <v>7</v>
      </c>
      <c r="AL439" s="408">
        <f>AL437-AG437</f>
        <v>38</v>
      </c>
      <c r="AM439" s="401">
        <f>AM437-AK437</f>
        <v>4</v>
      </c>
      <c r="AN439" s="401">
        <f>AN437-AM437</f>
        <v>9</v>
      </c>
      <c r="AO439" s="401">
        <f>AO437-AN437</f>
        <v>12</v>
      </c>
      <c r="AP439" s="401">
        <f>AP437-AO437</f>
        <v>9</v>
      </c>
      <c r="AQ439" s="408">
        <f>AQ437-AL437</f>
        <v>34</v>
      </c>
      <c r="AR439" s="401">
        <f>AR437-AP437</f>
        <v>7</v>
      </c>
      <c r="AS439" s="401">
        <f>AS437-AR437</f>
        <v>7</v>
      </c>
      <c r="AT439" s="401">
        <f>AT437-AS437</f>
        <v>19</v>
      </c>
      <c r="AU439" s="401">
        <f>AU437-AT437</f>
        <v>6</v>
      </c>
      <c r="AV439" s="408">
        <f>AV437-AQ437</f>
        <v>39</v>
      </c>
      <c r="AW439" s="401">
        <f>AW437-AU437</f>
        <v>5</v>
      </c>
      <c r="AX439" s="401">
        <f>AX437-AW437</f>
        <v>5</v>
      </c>
      <c r="AY439" s="401">
        <f>AY437-AX437</f>
        <v>16</v>
      </c>
      <c r="AZ439" s="401">
        <f>AZ437-AY437</f>
        <v>12</v>
      </c>
      <c r="BA439" s="408">
        <f>BA437-AV437</f>
        <v>38</v>
      </c>
      <c r="BB439" s="401">
        <f>BB437-AZ437</f>
        <v>7</v>
      </c>
      <c r="BC439" s="401">
        <f>BC437-BB437</f>
        <v>14</v>
      </c>
      <c r="BD439" s="401">
        <f>BD437-BC437</f>
        <v>12</v>
      </c>
      <c r="BE439" s="401">
        <f>BE437-BD437</f>
        <v>7</v>
      </c>
      <c r="BF439" s="408">
        <f>BF437-BA437</f>
        <v>40</v>
      </c>
      <c r="BG439" s="401">
        <f>BG437-BE437</f>
        <v>4</v>
      </c>
      <c r="BH439" s="401">
        <f>BH437-BG437</f>
        <v>3</v>
      </c>
      <c r="BI439" s="401">
        <f>BI437-BH437</f>
        <v>8</v>
      </c>
      <c r="BJ439" s="401">
        <f>BJ437-BI437</f>
        <v>16</v>
      </c>
      <c r="BK439" s="408">
        <f>BK437-BF437</f>
        <v>31</v>
      </c>
      <c r="BL439" s="401">
        <f>BL437-BJ437</f>
        <v>5</v>
      </c>
      <c r="BM439" s="401">
        <f>BM437-BL437</f>
        <v>10</v>
      </c>
      <c r="BN439" s="401">
        <f>BN437-BM437</f>
        <v>15</v>
      </c>
      <c r="BO439" s="401">
        <f>BO437-BN437</f>
        <v>16</v>
      </c>
      <c r="BP439" s="408">
        <f>BP437-BK437</f>
        <v>46</v>
      </c>
      <c r="BQ439" s="401">
        <f>BQ437-BP437</f>
        <v>7</v>
      </c>
      <c r="BR439" s="401">
        <f>BR437-BQ437</f>
        <v>4</v>
      </c>
      <c r="BS439" s="401">
        <f>BS437-BR437</f>
        <v>11</v>
      </c>
      <c r="BT439" s="401">
        <f>BT437-BS437</f>
        <v>14</v>
      </c>
      <c r="BU439" s="408">
        <f>BU437-BP437</f>
        <v>36</v>
      </c>
      <c r="BV439" s="401">
        <f>BV437-BU437</f>
        <v>15</v>
      </c>
      <c r="BW439" s="401">
        <f>BW437-BV437</f>
        <v>5</v>
      </c>
      <c r="BX439" s="401">
        <f>BX437-BW437</f>
        <v>20</v>
      </c>
      <c r="BY439" s="401">
        <f>BY437-BX437</f>
        <v>14</v>
      </c>
      <c r="BZ439" s="408">
        <f>BZ437-BU437</f>
        <v>54</v>
      </c>
      <c r="CA439" s="401">
        <f>CA437-BZ437</f>
        <v>2</v>
      </c>
      <c r="CB439" s="401">
        <f>CB437-CA437</f>
        <v>17</v>
      </c>
      <c r="CC439" s="401">
        <f>CC437-CB437</f>
        <v>9</v>
      </c>
      <c r="CD439" s="401">
        <f>CD437-CC437</f>
        <v>6</v>
      </c>
      <c r="CE439" s="408">
        <f>CE437-BZ437</f>
        <v>34</v>
      </c>
      <c r="CF439" s="401">
        <f>CF437-CE437</f>
        <v>2</v>
      </c>
      <c r="CG439" s="401">
        <f>CG437-CF437</f>
        <v>11</v>
      </c>
      <c r="CH439" s="401">
        <f>CH437-CG437</f>
        <v>18</v>
      </c>
      <c r="CI439" s="401">
        <f>CI437-CH437</f>
        <v>22</v>
      </c>
      <c r="CJ439" s="408">
        <f>CJ437-CE437</f>
        <v>53</v>
      </c>
      <c r="CK439" s="401">
        <f>CK437-CJ437</f>
        <v>5</v>
      </c>
      <c r="CL439" s="401">
        <f>CL437-CK437</f>
        <v>21</v>
      </c>
      <c r="CM439" s="401">
        <f>CM437-CL437</f>
        <v>23</v>
      </c>
      <c r="CN439" s="401">
        <f>CN437-CM437</f>
        <v>32</v>
      </c>
      <c r="CO439" s="408">
        <f>CO437-CJ437</f>
        <v>81</v>
      </c>
      <c r="CP439" s="401">
        <f>CP437-CO437</f>
        <v>7</v>
      </c>
      <c r="CQ439" s="401">
        <f>CQ437-CP437</f>
        <v>10</v>
      </c>
      <c r="CR439" s="401">
        <f>CR437-CQ437</f>
        <v>14</v>
      </c>
      <c r="CS439" s="401">
        <f>CS437-CR437</f>
        <v>25</v>
      </c>
      <c r="CT439" s="408">
        <f>CT437-CO437</f>
        <v>56</v>
      </c>
      <c r="CU439" s="401"/>
      <c r="CV439" s="401"/>
      <c r="CW439" s="401"/>
      <c r="CX439" s="401"/>
      <c r="CY439" s="408"/>
      <c r="CZ439" s="401"/>
      <c r="DA439" s="401"/>
      <c r="DB439" s="247"/>
      <c r="DC439" s="247"/>
      <c r="DD439" s="246"/>
      <c r="DE439" s="247"/>
      <c r="DF439" s="247"/>
      <c r="DG439" s="247"/>
      <c r="DH439" s="247"/>
      <c r="DI439" s="246"/>
      <c r="DJ439" s="247"/>
      <c r="DK439" s="247"/>
      <c r="DL439" s="247"/>
      <c r="DM439" s="247"/>
      <c r="DN439" s="246"/>
      <c r="DO439" s="247"/>
      <c r="DP439" s="247"/>
      <c r="DQ439" s="247"/>
      <c r="DR439" s="247"/>
      <c r="DS439" s="246"/>
    </row>
    <row r="440" hidden="1" outlineLevel="1" spans="2:123">
      <c r="B440" s="432"/>
      <c r="C440" s="246"/>
      <c r="D440" s="247"/>
      <c r="E440" s="247"/>
      <c r="F440" s="247"/>
      <c r="G440" s="247"/>
      <c r="H440" s="246"/>
      <c r="I440" s="247"/>
      <c r="J440" s="247"/>
      <c r="K440" s="247"/>
      <c r="L440" s="247"/>
      <c r="M440" s="246"/>
      <c r="N440" s="247"/>
      <c r="O440" s="247"/>
      <c r="P440" s="247"/>
      <c r="Q440" s="247"/>
      <c r="R440" s="246"/>
      <c r="S440" s="433"/>
      <c r="T440" s="433"/>
      <c r="U440" s="433"/>
      <c r="V440" s="433"/>
      <c r="W440" s="246"/>
      <c r="X440" s="433"/>
      <c r="Y440" s="435"/>
      <c r="Z440" s="435"/>
      <c r="AA440" s="435"/>
      <c r="AB440" s="246"/>
      <c r="AC440" s="435"/>
      <c r="AD440" s="435"/>
      <c r="AE440" s="435"/>
      <c r="AF440" s="435"/>
      <c r="AG440" s="246"/>
      <c r="AH440" s="435"/>
      <c r="AI440" s="435"/>
      <c r="AJ440" s="435"/>
      <c r="AK440" s="435"/>
      <c r="AL440" s="246"/>
      <c r="AM440" s="435"/>
      <c r="AN440" s="435"/>
      <c r="AO440" s="435"/>
      <c r="AP440" s="435"/>
      <c r="AQ440" s="246"/>
      <c r="AR440" s="435"/>
      <c r="AS440" s="435"/>
      <c r="AT440" s="435"/>
      <c r="AU440" s="435"/>
      <c r="AV440" s="246"/>
      <c r="AW440" s="435"/>
      <c r="AX440" s="435"/>
      <c r="AY440" s="435"/>
      <c r="AZ440" s="435"/>
      <c r="BA440" s="246"/>
      <c r="BB440" s="435"/>
      <c r="BC440" s="435"/>
      <c r="BD440" s="435"/>
      <c r="BE440" s="435"/>
      <c r="BF440" s="246"/>
      <c r="BG440" s="435"/>
      <c r="BH440" s="435"/>
      <c r="BI440" s="435"/>
      <c r="BJ440" s="435"/>
      <c r="BK440" s="246"/>
      <c r="BL440" s="435"/>
      <c r="BM440" s="435"/>
      <c r="BN440" s="435"/>
      <c r="BO440" s="435"/>
      <c r="BP440" s="252"/>
      <c r="BQ440" s="436"/>
      <c r="BR440" s="435"/>
      <c r="BS440" s="435"/>
      <c r="BT440" s="435"/>
      <c r="BU440" s="252"/>
      <c r="BV440" s="436"/>
      <c r="BW440" s="435"/>
      <c r="BX440" s="435"/>
      <c r="BY440" s="435"/>
      <c r="BZ440" s="252"/>
      <c r="CA440" s="435"/>
      <c r="CB440" s="435"/>
      <c r="CC440" s="435"/>
      <c r="CD440" s="435"/>
      <c r="CE440" s="246"/>
      <c r="CF440" s="435"/>
      <c r="CG440" s="435"/>
      <c r="CH440" s="435"/>
      <c r="CI440" s="435"/>
      <c r="CJ440" s="246"/>
      <c r="CK440" s="435"/>
      <c r="CL440" s="435"/>
      <c r="CM440" s="435"/>
      <c r="CN440" s="435"/>
      <c r="CO440" s="246"/>
      <c r="CP440" s="435"/>
      <c r="CQ440" s="435"/>
      <c r="CR440" s="435"/>
      <c r="CS440" s="435"/>
      <c r="CT440" s="246"/>
      <c r="CU440" s="435"/>
      <c r="CV440" s="435"/>
      <c r="CW440" s="435"/>
      <c r="CX440" s="435"/>
      <c r="CY440" s="246"/>
      <c r="CZ440" s="435"/>
      <c r="DA440" s="435"/>
      <c r="DB440" s="435"/>
      <c r="DC440" s="435"/>
      <c r="DD440" s="246"/>
      <c r="DE440" s="435"/>
      <c r="DF440" s="435"/>
      <c r="DG440" s="435"/>
      <c r="DH440" s="435"/>
      <c r="DI440" s="246"/>
      <c r="DJ440" s="435"/>
      <c r="DK440" s="435"/>
      <c r="DL440" s="435"/>
      <c r="DM440" s="435"/>
      <c r="DN440" s="246"/>
      <c r="DO440" s="435"/>
      <c r="DP440" s="435"/>
      <c r="DQ440" s="435"/>
      <c r="DR440" s="435"/>
      <c r="DS440" s="246"/>
    </row>
    <row r="441" hidden="1" outlineLevel="1" spans="2:123">
      <c r="B441" s="277" t="s">
        <v>461</v>
      </c>
      <c r="C441" s="246"/>
      <c r="D441" s="247"/>
      <c r="E441" s="247"/>
      <c r="F441" s="247"/>
      <c r="G441" s="247"/>
      <c r="H441" s="246"/>
      <c r="I441" s="247"/>
      <c r="J441" s="247"/>
      <c r="K441" s="247"/>
      <c r="L441" s="247"/>
      <c r="M441" s="246"/>
      <c r="N441" s="247"/>
      <c r="O441" s="247"/>
      <c r="P441" s="247"/>
      <c r="Q441" s="247"/>
      <c r="R441" s="246"/>
      <c r="S441" s="433"/>
      <c r="T441" s="433"/>
      <c r="U441" s="433"/>
      <c r="V441" s="433"/>
      <c r="W441" s="246"/>
      <c r="X441" s="433"/>
      <c r="Y441" s="435"/>
      <c r="Z441" s="435"/>
      <c r="AA441" s="435"/>
      <c r="AB441" s="246"/>
      <c r="AC441" s="435"/>
      <c r="AD441" s="435"/>
      <c r="AE441" s="435"/>
      <c r="AF441" s="435"/>
      <c r="AG441" s="246"/>
      <c r="AH441" s="435"/>
      <c r="AI441" s="435"/>
      <c r="AJ441" s="435"/>
      <c r="AK441" s="435"/>
      <c r="AL441" s="246"/>
      <c r="AM441" s="435"/>
      <c r="AN441" s="435"/>
      <c r="AO441" s="435"/>
      <c r="AP441" s="435"/>
      <c r="AQ441" s="246"/>
      <c r="AR441" s="435"/>
      <c r="AS441" s="435"/>
      <c r="AT441" s="435"/>
      <c r="AU441" s="435"/>
      <c r="AV441" s="246"/>
      <c r="AW441" s="435"/>
      <c r="AX441" s="435"/>
      <c r="AY441" s="435"/>
      <c r="AZ441" s="435"/>
      <c r="BA441" s="246"/>
      <c r="BB441" s="435"/>
      <c r="BC441" s="435"/>
      <c r="BD441" s="435"/>
      <c r="BE441" s="435"/>
      <c r="BF441" s="246"/>
      <c r="BG441" s="435"/>
      <c r="BH441" s="435"/>
      <c r="BI441" s="435"/>
      <c r="BJ441" s="435"/>
      <c r="BK441" s="246"/>
      <c r="BL441" s="435"/>
      <c r="BM441" s="435"/>
      <c r="BN441" s="435"/>
      <c r="BO441" s="435"/>
      <c r="BP441" s="246"/>
      <c r="BQ441" s="435"/>
      <c r="BR441" s="435"/>
      <c r="BS441" s="435"/>
      <c r="BT441" s="435"/>
      <c r="BU441" s="246"/>
      <c r="BV441" s="435"/>
      <c r="BW441" s="435"/>
      <c r="BX441" s="435"/>
      <c r="BY441" s="435"/>
      <c r="BZ441" s="246"/>
      <c r="CA441" s="435"/>
      <c r="CB441" s="435"/>
      <c r="CC441" s="435"/>
      <c r="CD441" s="435"/>
      <c r="CE441" s="246"/>
      <c r="CF441" s="435"/>
      <c r="CG441" s="435"/>
      <c r="CH441" s="435"/>
      <c r="CI441" s="435"/>
      <c r="CJ441" s="246"/>
      <c r="CK441" s="435"/>
      <c r="CL441" s="435"/>
      <c r="CM441" s="435"/>
      <c r="CN441" s="435"/>
      <c r="CO441" s="246"/>
      <c r="CP441" s="435"/>
      <c r="CQ441" s="435"/>
      <c r="CR441" s="435"/>
      <c r="CS441" s="435"/>
      <c r="CT441" s="246"/>
      <c r="CU441" s="435"/>
      <c r="CV441" s="435"/>
      <c r="CW441" s="435"/>
      <c r="CX441" s="435"/>
      <c r="CY441" s="246"/>
      <c r="CZ441" s="435"/>
      <c r="DA441" s="435"/>
      <c r="DB441" s="435"/>
      <c r="DC441" s="435"/>
      <c r="DD441" s="246"/>
      <c r="DE441" s="435"/>
      <c r="DF441" s="435"/>
      <c r="DG441" s="435"/>
      <c r="DH441" s="435"/>
      <c r="DI441" s="246"/>
      <c r="DJ441" s="435"/>
      <c r="DK441" s="435"/>
      <c r="DL441" s="435"/>
      <c r="DM441" s="435"/>
      <c r="DN441" s="246"/>
      <c r="DO441" s="435"/>
      <c r="DP441" s="435"/>
      <c r="DQ441" s="435"/>
      <c r="DR441" s="435"/>
      <c r="DS441" s="246"/>
    </row>
    <row r="442" hidden="1" outlineLevel="1" spans="2:123">
      <c r="B442" s="277" t="s">
        <v>366</v>
      </c>
      <c r="C442" s="246"/>
      <c r="D442" s="247"/>
      <c r="E442" s="247"/>
      <c r="F442" s="247"/>
      <c r="G442" s="247"/>
      <c r="H442" s="246"/>
      <c r="I442" s="247"/>
      <c r="J442" s="247"/>
      <c r="K442" s="247"/>
      <c r="L442" s="247"/>
      <c r="M442" s="246"/>
      <c r="N442" s="247"/>
      <c r="O442" s="247"/>
      <c r="P442" s="247"/>
      <c r="Q442" s="435">
        <v>0</v>
      </c>
      <c r="R442" s="246">
        <f>Q442</f>
        <v>0</v>
      </c>
      <c r="S442" s="435">
        <v>0</v>
      </c>
      <c r="T442" s="435">
        <v>0</v>
      </c>
      <c r="U442" s="435">
        <v>0</v>
      </c>
      <c r="V442" s="435">
        <v>0</v>
      </c>
      <c r="W442" s="246">
        <f>V442</f>
        <v>0</v>
      </c>
      <c r="X442" s="435">
        <v>0</v>
      </c>
      <c r="Y442" s="435">
        <v>0</v>
      </c>
      <c r="Z442" s="435">
        <v>0</v>
      </c>
      <c r="AA442" s="435">
        <v>0</v>
      </c>
      <c r="AB442" s="246">
        <f>AA442</f>
        <v>0</v>
      </c>
      <c r="AC442" s="249">
        <v>0</v>
      </c>
      <c r="AD442" s="249">
        <v>0</v>
      </c>
      <c r="AE442" s="249">
        <v>0</v>
      </c>
      <c r="AF442" s="249">
        <v>0</v>
      </c>
      <c r="AG442" s="246">
        <f>AF442</f>
        <v>0</v>
      </c>
      <c r="AH442" s="249">
        <v>0</v>
      </c>
      <c r="AI442" s="249">
        <v>0</v>
      </c>
      <c r="AJ442" s="249">
        <v>0</v>
      </c>
      <c r="AK442" s="249">
        <v>0</v>
      </c>
      <c r="AL442" s="246">
        <f>AK442</f>
        <v>0</v>
      </c>
      <c r="AM442" s="433">
        <v>0</v>
      </c>
      <c r="AN442" s="433">
        <v>0</v>
      </c>
      <c r="AO442" s="433">
        <v>0</v>
      </c>
      <c r="AP442" s="433">
        <v>0</v>
      </c>
      <c r="AQ442" s="246">
        <f>AP442</f>
        <v>0</v>
      </c>
      <c r="AR442" s="433">
        <v>0</v>
      </c>
      <c r="AS442" s="433">
        <v>0</v>
      </c>
      <c r="AT442" s="437">
        <v>2</v>
      </c>
      <c r="AU442" s="433">
        <v>3</v>
      </c>
      <c r="AV442" s="246">
        <f>AU442</f>
        <v>3</v>
      </c>
      <c r="AW442" s="433">
        <v>7</v>
      </c>
      <c r="AX442" s="433">
        <v>9</v>
      </c>
      <c r="AY442" s="433">
        <v>10</v>
      </c>
      <c r="AZ442" s="435">
        <v>11</v>
      </c>
      <c r="BA442" s="246">
        <f>AZ442</f>
        <v>11</v>
      </c>
      <c r="BB442" s="435">
        <v>17</v>
      </c>
      <c r="BC442" s="435">
        <v>23</v>
      </c>
      <c r="BD442" s="435">
        <v>29</v>
      </c>
      <c r="BE442" s="435">
        <v>31</v>
      </c>
      <c r="BF442" s="246">
        <f>BE442</f>
        <v>31</v>
      </c>
      <c r="BG442" s="435">
        <v>36</v>
      </c>
      <c r="BH442" s="435">
        <v>39</v>
      </c>
      <c r="BI442" s="435">
        <v>41</v>
      </c>
      <c r="BJ442" s="435">
        <v>42</v>
      </c>
      <c r="BK442" s="246">
        <f>BJ442</f>
        <v>42</v>
      </c>
      <c r="BL442" s="435">
        <v>42</v>
      </c>
      <c r="BM442" s="435">
        <v>42</v>
      </c>
      <c r="BN442" s="435">
        <v>4</v>
      </c>
      <c r="BO442" s="435">
        <v>4</v>
      </c>
      <c r="BP442" s="246">
        <f>BO442</f>
        <v>4</v>
      </c>
      <c r="BQ442" s="437">
        <v>4</v>
      </c>
      <c r="BR442" s="437">
        <v>4</v>
      </c>
      <c r="BS442" s="437">
        <v>4</v>
      </c>
      <c r="BT442" s="437">
        <v>4</v>
      </c>
      <c r="BU442" s="246">
        <f>BT442</f>
        <v>4</v>
      </c>
      <c r="BV442" s="437">
        <v>4</v>
      </c>
      <c r="BW442" s="437">
        <v>4</v>
      </c>
      <c r="BX442" s="437">
        <v>4</v>
      </c>
      <c r="BY442" s="437">
        <v>4</v>
      </c>
      <c r="BZ442" s="246">
        <f>BY442</f>
        <v>4</v>
      </c>
      <c r="CA442" s="437">
        <v>0</v>
      </c>
      <c r="CB442" s="437">
        <v>0</v>
      </c>
      <c r="CC442" s="437">
        <v>0</v>
      </c>
      <c r="CD442" s="437">
        <v>0</v>
      </c>
      <c r="CE442" s="246">
        <f>CD442</f>
        <v>0</v>
      </c>
      <c r="CF442" s="437"/>
      <c r="CG442" s="437"/>
      <c r="CH442" s="437"/>
      <c r="CI442" s="437"/>
      <c r="CJ442" s="246"/>
      <c r="CK442" s="437"/>
      <c r="CL442" s="435"/>
      <c r="CM442" s="435"/>
      <c r="CN442" s="435"/>
      <c r="CO442" s="246"/>
      <c r="CP442" s="435"/>
      <c r="CQ442" s="435"/>
      <c r="CR442" s="435"/>
      <c r="CS442" s="435"/>
      <c r="CT442" s="246"/>
      <c r="CU442" s="435"/>
      <c r="CV442" s="435"/>
      <c r="CW442" s="435"/>
      <c r="CX442" s="435"/>
      <c r="CY442" s="246"/>
      <c r="CZ442" s="435"/>
      <c r="DA442" s="435"/>
      <c r="DB442" s="435"/>
      <c r="DC442" s="435"/>
      <c r="DD442" s="246"/>
      <c r="DE442" s="435"/>
      <c r="DF442" s="435"/>
      <c r="DG442" s="435"/>
      <c r="DH442" s="435"/>
      <c r="DI442" s="246"/>
      <c r="DJ442" s="435"/>
      <c r="DK442" s="435"/>
      <c r="DL442" s="435"/>
      <c r="DM442" s="435"/>
      <c r="DN442" s="246"/>
      <c r="DO442" s="435"/>
      <c r="DP442" s="435"/>
      <c r="DQ442" s="435"/>
      <c r="DR442" s="435"/>
      <c r="DS442" s="246"/>
    </row>
    <row r="443" hidden="1" outlineLevel="1" spans="2:123">
      <c r="B443" s="277" t="s">
        <v>462</v>
      </c>
      <c r="C443" s="246"/>
      <c r="D443" s="247"/>
      <c r="E443" s="247"/>
      <c r="F443" s="247"/>
      <c r="G443" s="247"/>
      <c r="H443" s="246"/>
      <c r="I443" s="247"/>
      <c r="J443" s="247"/>
      <c r="K443" s="247"/>
      <c r="L443" s="247"/>
      <c r="M443" s="246"/>
      <c r="N443" s="247"/>
      <c r="O443" s="247"/>
      <c r="P443" s="247"/>
      <c r="Q443" s="435">
        <v>0</v>
      </c>
      <c r="R443" s="246">
        <f>Q443</f>
        <v>0</v>
      </c>
      <c r="S443" s="435">
        <v>0</v>
      </c>
      <c r="T443" s="435">
        <v>0</v>
      </c>
      <c r="U443" s="435">
        <v>0</v>
      </c>
      <c r="V443" s="435">
        <v>0</v>
      </c>
      <c r="W443" s="246">
        <f>V443</f>
        <v>0</v>
      </c>
      <c r="X443" s="435">
        <v>0</v>
      </c>
      <c r="Y443" s="435">
        <v>0</v>
      </c>
      <c r="Z443" s="435">
        <v>0</v>
      </c>
      <c r="AA443" s="435">
        <v>3</v>
      </c>
      <c r="AB443" s="246">
        <f>AA443</f>
        <v>3</v>
      </c>
      <c r="AC443" s="249">
        <v>3</v>
      </c>
      <c r="AD443" s="249">
        <v>3</v>
      </c>
      <c r="AE443" s="249">
        <v>3</v>
      </c>
      <c r="AF443" s="249">
        <v>2</v>
      </c>
      <c r="AG443" s="246">
        <f>AF443</f>
        <v>2</v>
      </c>
      <c r="AH443" s="249">
        <v>3</v>
      </c>
      <c r="AI443" s="249">
        <v>3</v>
      </c>
      <c r="AJ443" s="249">
        <v>3</v>
      </c>
      <c r="AK443" s="249">
        <v>5</v>
      </c>
      <c r="AL443" s="246">
        <f>AK443</f>
        <v>5</v>
      </c>
      <c r="AM443" s="433">
        <v>7</v>
      </c>
      <c r="AN443" s="433">
        <f>+AJ443+4</f>
        <v>7</v>
      </c>
      <c r="AO443" s="433">
        <v>7</v>
      </c>
      <c r="AP443" s="433">
        <v>8</v>
      </c>
      <c r="AQ443" s="246">
        <f>AP443</f>
        <v>8</v>
      </c>
      <c r="AR443" s="433">
        <v>8</v>
      </c>
      <c r="AS443" s="433">
        <v>9</v>
      </c>
      <c r="AT443" s="437">
        <v>9</v>
      </c>
      <c r="AU443" s="433">
        <v>9</v>
      </c>
      <c r="AV443" s="246">
        <f>AU443</f>
        <v>9</v>
      </c>
      <c r="AW443" s="433">
        <v>9</v>
      </c>
      <c r="AX443" s="433">
        <v>9</v>
      </c>
      <c r="AY443" s="433">
        <v>11</v>
      </c>
      <c r="AZ443" s="435">
        <v>11</v>
      </c>
      <c r="BA443" s="246">
        <f>AZ443</f>
        <v>11</v>
      </c>
      <c r="BB443" s="435">
        <v>12</v>
      </c>
      <c r="BC443" s="435">
        <v>12</v>
      </c>
      <c r="BD443" s="435">
        <v>12</v>
      </c>
      <c r="BE443" s="435">
        <v>12</v>
      </c>
      <c r="BF443" s="246">
        <f>BE443</f>
        <v>12</v>
      </c>
      <c r="BG443" s="435">
        <v>13</v>
      </c>
      <c r="BH443" s="435">
        <v>13</v>
      </c>
      <c r="BI443" s="435">
        <v>13</v>
      </c>
      <c r="BJ443" s="435">
        <v>13</v>
      </c>
      <c r="BK443" s="246">
        <f>BJ443</f>
        <v>13</v>
      </c>
      <c r="BL443" s="435">
        <v>13</v>
      </c>
      <c r="BM443" s="435">
        <v>13</v>
      </c>
      <c r="BN443" s="435">
        <v>3</v>
      </c>
      <c r="BO443" s="247">
        <v>3</v>
      </c>
      <c r="BP443" s="246">
        <f>BO443</f>
        <v>3</v>
      </c>
      <c r="BQ443" s="438">
        <v>3</v>
      </c>
      <c r="BR443" s="438">
        <v>3</v>
      </c>
      <c r="BS443" s="438">
        <v>3</v>
      </c>
      <c r="BT443" s="438">
        <v>3</v>
      </c>
      <c r="BU443" s="246">
        <f>BT443</f>
        <v>3</v>
      </c>
      <c r="BV443" s="438">
        <v>3</v>
      </c>
      <c r="BW443" s="438">
        <v>3</v>
      </c>
      <c r="BX443" s="437">
        <v>2</v>
      </c>
      <c r="BY443" s="437">
        <v>0</v>
      </c>
      <c r="BZ443" s="246">
        <f>BY443</f>
        <v>0</v>
      </c>
      <c r="CA443" s="437">
        <v>0</v>
      </c>
      <c r="CB443" s="437">
        <v>0</v>
      </c>
      <c r="CC443" s="437">
        <v>0</v>
      </c>
      <c r="CD443" s="437">
        <v>0</v>
      </c>
      <c r="CE443" s="246">
        <f>CD443</f>
        <v>0</v>
      </c>
      <c r="CF443" s="437"/>
      <c r="CG443" s="437"/>
      <c r="CH443" s="437"/>
      <c r="CI443" s="437"/>
      <c r="CJ443" s="246"/>
      <c r="CK443" s="437"/>
      <c r="CL443" s="247"/>
      <c r="CM443" s="247"/>
      <c r="CN443" s="247"/>
      <c r="CO443" s="246"/>
      <c r="CP443" s="247"/>
      <c r="CQ443" s="247"/>
      <c r="CR443" s="247"/>
      <c r="CS443" s="247"/>
      <c r="CT443" s="246"/>
      <c r="CU443" s="247"/>
      <c r="CV443" s="247"/>
      <c r="CW443" s="247"/>
      <c r="CX443" s="247"/>
      <c r="CY443" s="246"/>
      <c r="CZ443" s="247"/>
      <c r="DA443" s="247"/>
      <c r="DB443" s="247"/>
      <c r="DC443" s="247"/>
      <c r="DD443" s="246"/>
      <c r="DE443" s="247"/>
      <c r="DF443" s="247"/>
      <c r="DG443" s="247"/>
      <c r="DH443" s="247"/>
      <c r="DI443" s="246"/>
      <c r="DJ443" s="247"/>
      <c r="DK443" s="247"/>
      <c r="DL443" s="247"/>
      <c r="DM443" s="247"/>
      <c r="DN443" s="246"/>
      <c r="DO443" s="247"/>
      <c r="DP443" s="247"/>
      <c r="DQ443" s="247"/>
      <c r="DR443" s="247"/>
      <c r="DS443" s="246"/>
    </row>
    <row r="444" s="3" customFormat="1" hidden="1" outlineLevel="1" spans="2:123">
      <c r="B444" s="425" t="s">
        <v>463</v>
      </c>
      <c r="C444" s="426"/>
      <c r="D444" s="427"/>
      <c r="E444" s="427"/>
      <c r="F444" s="427"/>
      <c r="G444" s="427"/>
      <c r="H444" s="426"/>
      <c r="I444" s="427"/>
      <c r="J444" s="427"/>
      <c r="K444" s="427"/>
      <c r="L444" s="427"/>
      <c r="M444" s="426"/>
      <c r="N444" s="427"/>
      <c r="O444" s="427"/>
      <c r="P444" s="427"/>
      <c r="Q444" s="428">
        <f>SUM(Q443,Q442)</f>
        <v>0</v>
      </c>
      <c r="R444" s="426">
        <f>Q444</f>
        <v>0</v>
      </c>
      <c r="S444" s="428">
        <f>SUM(S443,S442)</f>
        <v>0</v>
      </c>
      <c r="T444" s="428">
        <f>SUM(T443,T442)</f>
        <v>0</v>
      </c>
      <c r="U444" s="428">
        <f>SUM(U443,U442)</f>
        <v>0</v>
      </c>
      <c r="V444" s="428">
        <f>SUM(V443,V442)</f>
        <v>0</v>
      </c>
      <c r="W444" s="426">
        <f>V444</f>
        <v>0</v>
      </c>
      <c r="X444" s="428">
        <f>SUM(X443,X442)</f>
        <v>0</v>
      </c>
      <c r="Y444" s="428">
        <f>SUM(Y443,Y442)</f>
        <v>0</v>
      </c>
      <c r="Z444" s="428">
        <f>SUM(Z443,Z442)</f>
        <v>0</v>
      </c>
      <c r="AA444" s="428">
        <f>SUM(AA443,AA442)</f>
        <v>3</v>
      </c>
      <c r="AB444" s="426">
        <f>AA444</f>
        <v>3</v>
      </c>
      <c r="AC444" s="428">
        <f>SUM(AC443,AC442)</f>
        <v>3</v>
      </c>
      <c r="AD444" s="428">
        <f>SUM(AD443,AD442)</f>
        <v>3</v>
      </c>
      <c r="AE444" s="428">
        <f>SUM(AE443,AE442)</f>
        <v>3</v>
      </c>
      <c r="AF444" s="428">
        <f>SUM(AF443,AF442)</f>
        <v>2</v>
      </c>
      <c r="AG444" s="426">
        <f>AF444</f>
        <v>2</v>
      </c>
      <c r="AH444" s="428">
        <f>SUM(AH443,AH442)</f>
        <v>3</v>
      </c>
      <c r="AI444" s="428">
        <f>SUM(AI443,AI442)</f>
        <v>3</v>
      </c>
      <c r="AJ444" s="428">
        <f>SUM(AJ443,AJ442)</f>
        <v>3</v>
      </c>
      <c r="AK444" s="428">
        <f>SUM(AK443,AK442)</f>
        <v>5</v>
      </c>
      <c r="AL444" s="426">
        <f>AK444</f>
        <v>5</v>
      </c>
      <c r="AM444" s="428">
        <f>SUM(AM443,AM442)</f>
        <v>7</v>
      </c>
      <c r="AN444" s="428">
        <f>SUM(AN443,AN442)</f>
        <v>7</v>
      </c>
      <c r="AO444" s="428">
        <f>SUM(AO443,AO442)</f>
        <v>7</v>
      </c>
      <c r="AP444" s="428">
        <f>SUM(AP443,AP442)</f>
        <v>8</v>
      </c>
      <c r="AQ444" s="426">
        <f>AP444</f>
        <v>8</v>
      </c>
      <c r="AR444" s="428">
        <f>SUM(AR443,AR442)</f>
        <v>8</v>
      </c>
      <c r="AS444" s="428">
        <f>SUM(AS443,AS442)</f>
        <v>9</v>
      </c>
      <c r="AT444" s="428">
        <f>SUM(AT443,AT442)</f>
        <v>11</v>
      </c>
      <c r="AU444" s="428">
        <f>SUM(AU443,AU442)</f>
        <v>12</v>
      </c>
      <c r="AV444" s="426">
        <f>AU444</f>
        <v>12</v>
      </c>
      <c r="AW444" s="428">
        <f>SUM(AW443,AW442)</f>
        <v>16</v>
      </c>
      <c r="AX444" s="428">
        <f>SUM(AX443,AX442)</f>
        <v>18</v>
      </c>
      <c r="AY444" s="428">
        <f>SUM(AY443,AY442)</f>
        <v>21</v>
      </c>
      <c r="AZ444" s="428">
        <f>SUM(AZ443,AZ442)</f>
        <v>22</v>
      </c>
      <c r="BA444" s="426">
        <f>AZ444</f>
        <v>22</v>
      </c>
      <c r="BB444" s="428">
        <f>SUM(BB443,BB442)</f>
        <v>29</v>
      </c>
      <c r="BC444" s="428">
        <f>SUM(BC443,BC442)</f>
        <v>35</v>
      </c>
      <c r="BD444" s="428">
        <f>SUM(BD443,BD442)</f>
        <v>41</v>
      </c>
      <c r="BE444" s="428">
        <f>SUM(BE443,BE442)</f>
        <v>43</v>
      </c>
      <c r="BF444" s="426">
        <f>BE444</f>
        <v>43</v>
      </c>
      <c r="BG444" s="428">
        <f>SUM(BG443,BG442)</f>
        <v>49</v>
      </c>
      <c r="BH444" s="428">
        <f>SUM(BH443,BH442)</f>
        <v>52</v>
      </c>
      <c r="BI444" s="428">
        <f>SUM(BI443,BI442)</f>
        <v>54</v>
      </c>
      <c r="BJ444" s="428">
        <f>SUM(BJ443,BJ442)</f>
        <v>55</v>
      </c>
      <c r="BK444" s="426">
        <f>BJ444</f>
        <v>55</v>
      </c>
      <c r="BL444" s="428">
        <f t="shared" ref="BL444:CE444" si="1653">SUM(BL443,BL442)</f>
        <v>55</v>
      </c>
      <c r="BM444" s="428">
        <f t="shared" si="1653"/>
        <v>55</v>
      </c>
      <c r="BN444" s="428">
        <f t="shared" si="1653"/>
        <v>7</v>
      </c>
      <c r="BO444" s="428">
        <f t="shared" si="1653"/>
        <v>7</v>
      </c>
      <c r="BP444" s="429">
        <f t="shared" si="1653"/>
        <v>7</v>
      </c>
      <c r="BQ444" s="428">
        <f t="shared" si="1653"/>
        <v>7</v>
      </c>
      <c r="BR444" s="428">
        <f t="shared" si="1653"/>
        <v>7</v>
      </c>
      <c r="BS444" s="428">
        <f t="shared" si="1653"/>
        <v>7</v>
      </c>
      <c r="BT444" s="428">
        <f t="shared" si="1653"/>
        <v>7</v>
      </c>
      <c r="BU444" s="429">
        <f t="shared" si="1653"/>
        <v>7</v>
      </c>
      <c r="BV444" s="428">
        <f t="shared" si="1653"/>
        <v>7</v>
      </c>
      <c r="BW444" s="428">
        <f t="shared" si="1653"/>
        <v>7</v>
      </c>
      <c r="BX444" s="428">
        <f t="shared" si="1653"/>
        <v>6</v>
      </c>
      <c r="BY444" s="428">
        <f t="shared" si="1653"/>
        <v>4</v>
      </c>
      <c r="BZ444" s="429">
        <f t="shared" si="1653"/>
        <v>4</v>
      </c>
      <c r="CA444" s="428">
        <f t="shared" si="1653"/>
        <v>0</v>
      </c>
      <c r="CB444" s="428">
        <f t="shared" si="1653"/>
        <v>0</v>
      </c>
      <c r="CC444" s="428">
        <f t="shared" si="1653"/>
        <v>0</v>
      </c>
      <c r="CD444" s="428">
        <f t="shared" si="1653"/>
        <v>0</v>
      </c>
      <c r="CE444" s="429">
        <f t="shared" si="1653"/>
        <v>0</v>
      </c>
      <c r="CF444" s="428"/>
      <c r="CG444" s="428"/>
      <c r="CH444" s="428"/>
      <c r="CI444" s="428"/>
      <c r="CJ444" s="429"/>
      <c r="CK444" s="428"/>
      <c r="CL444" s="427"/>
      <c r="CM444" s="427"/>
      <c r="CN444" s="427"/>
      <c r="CO444" s="426"/>
      <c r="CP444" s="427"/>
      <c r="CQ444" s="427"/>
      <c r="CR444" s="427"/>
      <c r="CS444" s="427"/>
      <c r="CT444" s="426"/>
      <c r="CU444" s="427"/>
      <c r="CV444" s="427"/>
      <c r="CW444" s="427"/>
      <c r="CX444" s="427"/>
      <c r="CY444" s="426"/>
      <c r="CZ444" s="427"/>
      <c r="DA444" s="427"/>
      <c r="DB444" s="427"/>
      <c r="DC444" s="427"/>
      <c r="DD444" s="426"/>
      <c r="DE444" s="427"/>
      <c r="DF444" s="427"/>
      <c r="DG444" s="427"/>
      <c r="DH444" s="427"/>
      <c r="DI444" s="426"/>
      <c r="DJ444" s="427"/>
      <c r="DK444" s="427"/>
      <c r="DL444" s="427"/>
      <c r="DM444" s="427"/>
      <c r="DN444" s="426"/>
      <c r="DO444" s="427"/>
      <c r="DP444" s="427"/>
      <c r="DQ444" s="427"/>
      <c r="DR444" s="427"/>
      <c r="DS444" s="426"/>
    </row>
    <row r="445" hidden="1" outlineLevel="1" spans="2:123">
      <c r="B445" s="245"/>
      <c r="C445" s="246"/>
      <c r="D445" s="247"/>
      <c r="E445" s="247"/>
      <c r="F445" s="247"/>
      <c r="G445" s="247"/>
      <c r="H445" s="246"/>
      <c r="I445" s="247"/>
      <c r="J445" s="247"/>
      <c r="K445" s="247"/>
      <c r="L445" s="247"/>
      <c r="M445" s="246"/>
      <c r="N445" s="247"/>
      <c r="O445" s="247"/>
      <c r="P445" s="247"/>
      <c r="Q445" s="247"/>
      <c r="R445" s="246"/>
      <c r="S445" s="247"/>
      <c r="T445" s="247"/>
      <c r="U445" s="247"/>
      <c r="V445" s="247"/>
      <c r="W445" s="246"/>
      <c r="X445" s="247"/>
      <c r="Y445" s="435"/>
      <c r="Z445" s="435"/>
      <c r="AA445" s="435"/>
      <c r="AB445" s="246"/>
      <c r="AC445" s="435"/>
      <c r="AD445" s="435"/>
      <c r="AE445" s="435"/>
      <c r="AF445" s="435"/>
      <c r="AG445" s="246"/>
      <c r="AH445" s="435"/>
      <c r="AI445" s="435"/>
      <c r="AJ445" s="435"/>
      <c r="AK445" s="435"/>
      <c r="AL445" s="246"/>
      <c r="AM445" s="247"/>
      <c r="AN445" s="247"/>
      <c r="AO445" s="247"/>
      <c r="AP445" s="247"/>
      <c r="AQ445" s="246"/>
      <c r="AR445" s="247"/>
      <c r="AS445" s="247"/>
      <c r="AT445" s="247"/>
      <c r="AU445" s="247"/>
      <c r="AV445" s="246"/>
      <c r="AW445" s="247"/>
      <c r="AX445" s="247"/>
      <c r="AY445" s="247"/>
      <c r="AZ445" s="247"/>
      <c r="BA445" s="246"/>
      <c r="BB445" s="247"/>
      <c r="BC445" s="247"/>
      <c r="BD445" s="247"/>
      <c r="BE445" s="247"/>
      <c r="BF445" s="246"/>
      <c r="BG445" s="247"/>
      <c r="BH445" s="247"/>
      <c r="BI445" s="266"/>
      <c r="BJ445" s="247"/>
      <c r="BK445" s="246"/>
      <c r="BL445" s="247"/>
      <c r="BM445" s="247"/>
      <c r="BN445" s="439"/>
      <c r="BO445" s="247"/>
      <c r="BP445" s="246"/>
      <c r="BQ445" s="440"/>
      <c r="BR445" s="247"/>
      <c r="BS445" s="247"/>
      <c r="BT445" s="441"/>
      <c r="BU445" s="442"/>
      <c r="BV445" s="441"/>
      <c r="BW445" s="441"/>
      <c r="BX445" s="441"/>
      <c r="BY445" s="441"/>
      <c r="BZ445" s="442"/>
      <c r="CA445" s="441"/>
      <c r="CB445" s="441"/>
      <c r="CC445" s="441"/>
      <c r="CD445" s="441"/>
      <c r="CE445" s="442"/>
      <c r="CF445" s="441"/>
      <c r="CG445" s="441"/>
      <c r="CH445" s="441"/>
      <c r="CI445" s="441"/>
      <c r="CJ445" s="442"/>
      <c r="CK445" s="441"/>
      <c r="CL445" s="441"/>
      <c r="CM445" s="441"/>
      <c r="CN445" s="441"/>
      <c r="CO445" s="442"/>
      <c r="CP445" s="441"/>
      <c r="CQ445" s="441"/>
      <c r="CR445" s="441"/>
      <c r="CS445" s="441"/>
      <c r="CT445" s="442"/>
      <c r="CU445" s="441"/>
      <c r="CV445" s="441"/>
      <c r="CW445" s="441"/>
      <c r="CX445" s="441"/>
      <c r="CY445" s="442"/>
      <c r="CZ445" s="441"/>
      <c r="DA445" s="441"/>
      <c r="DB445" s="441"/>
      <c r="DC445" s="441"/>
      <c r="DD445" s="442"/>
      <c r="DE445" s="441"/>
      <c r="DF445" s="441"/>
      <c r="DG445" s="441"/>
      <c r="DH445" s="441"/>
      <c r="DI445" s="442"/>
      <c r="DJ445" s="441"/>
      <c r="DK445" s="441"/>
      <c r="DL445" s="441"/>
      <c r="DM445" s="441"/>
      <c r="DN445" s="442"/>
      <c r="DO445" s="441"/>
      <c r="DP445" s="441"/>
      <c r="DQ445" s="441"/>
      <c r="DR445" s="441"/>
      <c r="DS445" s="442"/>
    </row>
    <row r="446" s="3" customFormat="1" hidden="1" outlineLevel="1" spans="2:123">
      <c r="B446" s="425" t="s">
        <v>308</v>
      </c>
      <c r="C446" s="443">
        <v>0.035966</v>
      </c>
      <c r="D446" s="444">
        <v>0.044632</v>
      </c>
      <c r="E446" s="444">
        <v>0.04787</v>
      </c>
      <c r="F446" s="444">
        <v>0.054401</v>
      </c>
      <c r="G446" s="444">
        <v>0.071913</v>
      </c>
      <c r="H446" s="443">
        <f>G446</f>
        <v>0.071913</v>
      </c>
      <c r="I446" s="444">
        <v>0.083835</v>
      </c>
      <c r="J446" s="444">
        <v>0.090612</v>
      </c>
      <c r="K446" s="444">
        <v>0.103366</v>
      </c>
      <c r="L446" s="444">
        <v>0.11652</v>
      </c>
      <c r="M446" s="443">
        <f>L446</f>
        <v>0.11652</v>
      </c>
      <c r="N446" s="444">
        <v>0.13152</v>
      </c>
      <c r="O446" s="444">
        <v>0.15152</v>
      </c>
      <c r="P446" s="444">
        <v>0.16902</v>
      </c>
      <c r="Q446" s="444">
        <v>0.18652</v>
      </c>
      <c r="R446" s="443">
        <f>Q446</f>
        <v>0.18652</v>
      </c>
      <c r="S446" s="444">
        <v>0.20152</v>
      </c>
      <c r="T446" s="444">
        <v>0.23152</v>
      </c>
      <c r="U446" s="444">
        <v>0.27402</v>
      </c>
      <c r="V446" s="444">
        <v>0.27402</v>
      </c>
      <c r="W446" s="443">
        <f>V446</f>
        <v>0.27402</v>
      </c>
      <c r="X446" s="444">
        <v>0.27402</v>
      </c>
      <c r="Y446" s="444">
        <v>0.27682</v>
      </c>
      <c r="Z446" s="444">
        <v>0.28242</v>
      </c>
      <c r="AA446" s="444">
        <v>0.316</v>
      </c>
      <c r="AB446" s="443">
        <f>AA446</f>
        <v>0.316</v>
      </c>
      <c r="AC446" s="444">
        <v>0.325</v>
      </c>
      <c r="AD446" s="444">
        <v>0.35</v>
      </c>
      <c r="AE446" s="444">
        <v>0.364</v>
      </c>
      <c r="AF446" s="444">
        <v>0.374</v>
      </c>
      <c r="AG446" s="443">
        <f>AF446</f>
        <v>0.374</v>
      </c>
      <c r="AH446" s="444">
        <v>0.386</v>
      </c>
      <c r="AI446" s="444">
        <v>0.416</v>
      </c>
      <c r="AJ446" s="444">
        <v>0.47</v>
      </c>
      <c r="AK446" s="444">
        <v>0.494</v>
      </c>
      <c r="AL446" s="443">
        <f>AK446</f>
        <v>0.494</v>
      </c>
      <c r="AM446" s="444">
        <v>0.508</v>
      </c>
      <c r="AN446" s="444">
        <v>0.538</v>
      </c>
      <c r="AO446" s="444">
        <v>0.573</v>
      </c>
      <c r="AP446" s="445">
        <v>0.602</v>
      </c>
      <c r="AQ446" s="443">
        <f>AP446</f>
        <v>0.602</v>
      </c>
      <c r="AR446" s="445">
        <v>0.627</v>
      </c>
      <c r="AS446" s="445">
        <v>0.654</v>
      </c>
      <c r="AT446" s="445">
        <v>0.718</v>
      </c>
      <c r="AU446" s="445">
        <v>0.74</v>
      </c>
      <c r="AV446" s="443">
        <f>AU446</f>
        <v>0.74</v>
      </c>
      <c r="AW446" s="444">
        <v>0.764</v>
      </c>
      <c r="AX446" s="445">
        <v>0.787</v>
      </c>
      <c r="AY446" s="445">
        <v>0.848</v>
      </c>
      <c r="AZ446" s="445">
        <v>0.888</v>
      </c>
      <c r="BA446" s="443">
        <f>AZ446</f>
        <v>0.888</v>
      </c>
      <c r="BB446" s="445">
        <v>0.931</v>
      </c>
      <c r="BC446" s="445">
        <v>0.985</v>
      </c>
      <c r="BD446" s="445">
        <v>1.036</v>
      </c>
      <c r="BE446" s="445">
        <v>1.071</v>
      </c>
      <c r="BF446" s="443">
        <f>BE446</f>
        <v>1.071</v>
      </c>
      <c r="BG446" s="445">
        <v>1.095</v>
      </c>
      <c r="BH446" s="445">
        <v>1.117</v>
      </c>
      <c r="BI446" s="445">
        <v>1.144</v>
      </c>
      <c r="BJ446" s="445">
        <v>1.19</v>
      </c>
      <c r="BK446" s="443">
        <f>BJ446</f>
        <v>1.19</v>
      </c>
      <c r="BL446" s="445">
        <v>1.204</v>
      </c>
      <c r="BM446" s="444">
        <v>1.238</v>
      </c>
      <c r="BN446" s="444">
        <v>1.192</v>
      </c>
      <c r="BO446" s="444">
        <v>1.192</v>
      </c>
      <c r="BP446" s="443">
        <f>BO446</f>
        <v>1.192</v>
      </c>
      <c r="BQ446" s="445">
        <v>1.277</v>
      </c>
      <c r="BR446" s="445">
        <v>1.303</v>
      </c>
      <c r="BS446" s="445">
        <v>1.354</v>
      </c>
      <c r="BT446" s="445">
        <v>1.426</v>
      </c>
      <c r="BU446" s="446">
        <f>BT446</f>
        <v>1.426</v>
      </c>
      <c r="BV446" s="445">
        <v>1.466</v>
      </c>
      <c r="BW446" s="445">
        <v>1.522</v>
      </c>
      <c r="BX446" s="445">
        <v>1.604</v>
      </c>
      <c r="BY446" s="445">
        <v>1.68</v>
      </c>
      <c r="BZ446" s="446">
        <f>BY446</f>
        <v>1.68</v>
      </c>
      <c r="CA446" s="445">
        <v>1.692</v>
      </c>
      <c r="CB446" s="445">
        <v>1.757</v>
      </c>
      <c r="CC446" s="445">
        <v>1.808</v>
      </c>
      <c r="CD446" s="445">
        <v>1.858</v>
      </c>
      <c r="CE446" s="443">
        <f>CD446</f>
        <v>1.858</v>
      </c>
      <c r="CF446" s="445">
        <v>1.862</v>
      </c>
      <c r="CG446" s="445">
        <v>1.905</v>
      </c>
      <c r="CH446" s="445">
        <v>2.002</v>
      </c>
      <c r="CI446" s="445">
        <v>2.125</v>
      </c>
      <c r="CJ446" s="443">
        <f>CI446</f>
        <v>2.125</v>
      </c>
      <c r="CK446" s="445">
        <v>2.155</v>
      </c>
      <c r="CL446" s="445">
        <v>2.258</v>
      </c>
      <c r="CM446" s="445">
        <v>2.39</v>
      </c>
      <c r="CN446" s="445">
        <v>2.575</v>
      </c>
      <c r="CO446" s="443">
        <f>CN446</f>
        <v>2.575</v>
      </c>
      <c r="CP446" s="445">
        <v>2.632</v>
      </c>
      <c r="CQ446" s="445">
        <v>2.691</v>
      </c>
      <c r="CR446" s="445">
        <v>2.797</v>
      </c>
      <c r="CS446" s="445">
        <v>2.967</v>
      </c>
      <c r="CT446" s="443">
        <f>CS446</f>
        <v>2.967</v>
      </c>
      <c r="CU446" s="445"/>
      <c r="CV446" s="445"/>
      <c r="CW446" s="445"/>
      <c r="CX446" s="445"/>
      <c r="CY446" s="443"/>
      <c r="CZ446" s="445"/>
      <c r="DA446" s="445"/>
      <c r="DB446" s="445"/>
      <c r="DC446" s="445"/>
      <c r="DD446" s="443"/>
      <c r="DE446" s="445"/>
      <c r="DF446" s="445"/>
      <c r="DG446" s="445"/>
      <c r="DH446" s="445"/>
      <c r="DI446" s="443"/>
      <c r="DJ446" s="445"/>
      <c r="DK446" s="445"/>
      <c r="DL446" s="445"/>
      <c r="DM446" s="445"/>
      <c r="DN446" s="443"/>
      <c r="DO446" s="445"/>
      <c r="DP446" s="445"/>
      <c r="DQ446" s="445"/>
      <c r="DR446" s="445"/>
      <c r="DS446" s="443"/>
    </row>
    <row r="447" hidden="1" outlineLevel="1" spans="2:123">
      <c r="B447" s="149" t="s">
        <v>69</v>
      </c>
      <c r="C447" s="252"/>
      <c r="D447" s="253"/>
      <c r="E447" s="253"/>
      <c r="F447" s="253"/>
      <c r="G447" s="253"/>
      <c r="H447" s="423"/>
      <c r="I447" s="261"/>
      <c r="J447" s="261"/>
      <c r="K447" s="261"/>
      <c r="L447" s="261"/>
      <c r="M447" s="254">
        <f t="shared" ref="M447:AR447" si="1654">(M446/H446)-1</f>
        <v>0.620291185182095</v>
      </c>
      <c r="N447" s="255">
        <f t="shared" si="1654"/>
        <v>0.568795848989086</v>
      </c>
      <c r="O447" s="255">
        <f t="shared" si="1654"/>
        <v>0.672184699598287</v>
      </c>
      <c r="P447" s="255">
        <f t="shared" si="1654"/>
        <v>0.63516049764913</v>
      </c>
      <c r="Q447" s="255">
        <f t="shared" si="1654"/>
        <v>0.600755235152764</v>
      </c>
      <c r="R447" s="254">
        <f t="shared" si="1654"/>
        <v>0.600755235152764</v>
      </c>
      <c r="S447" s="255">
        <f t="shared" si="1654"/>
        <v>0.532238442822384</v>
      </c>
      <c r="T447" s="255">
        <f t="shared" si="1654"/>
        <v>0.527983104540655</v>
      </c>
      <c r="U447" s="255">
        <f t="shared" si="1654"/>
        <v>0.621228257011005</v>
      </c>
      <c r="V447" s="255">
        <f t="shared" si="1654"/>
        <v>0.469118593180356</v>
      </c>
      <c r="W447" s="254">
        <f t="shared" si="1654"/>
        <v>0.469118593180356</v>
      </c>
      <c r="X447" s="255">
        <f t="shared" si="1654"/>
        <v>0.359765780071457</v>
      </c>
      <c r="Y447" s="255">
        <f t="shared" si="1654"/>
        <v>0.195663441603317</v>
      </c>
      <c r="Z447" s="255">
        <f t="shared" si="1654"/>
        <v>0.0306546967374646</v>
      </c>
      <c r="AA447" s="255">
        <f t="shared" si="1654"/>
        <v>0.153200496314138</v>
      </c>
      <c r="AB447" s="254">
        <f t="shared" si="1654"/>
        <v>0.153200496314138</v>
      </c>
      <c r="AC447" s="255">
        <f t="shared" si="1654"/>
        <v>0.186044814247135</v>
      </c>
      <c r="AD447" s="255">
        <f t="shared" si="1654"/>
        <v>0.264359511595983</v>
      </c>
      <c r="AE447" s="255">
        <f t="shared" si="1654"/>
        <v>0.288860562283124</v>
      </c>
      <c r="AF447" s="255">
        <f t="shared" si="1654"/>
        <v>0.183544303797468</v>
      </c>
      <c r="AG447" s="254">
        <f t="shared" si="1654"/>
        <v>0.183544303797468</v>
      </c>
      <c r="AH447" s="255">
        <f t="shared" si="1654"/>
        <v>0.187692307692308</v>
      </c>
      <c r="AI447" s="255">
        <f t="shared" si="1654"/>
        <v>0.188571428571429</v>
      </c>
      <c r="AJ447" s="255">
        <f t="shared" si="1654"/>
        <v>0.291208791208791</v>
      </c>
      <c r="AK447" s="255">
        <f t="shared" si="1654"/>
        <v>0.320855614973262</v>
      </c>
      <c r="AL447" s="254">
        <f t="shared" si="1654"/>
        <v>0.320855614973262</v>
      </c>
      <c r="AM447" s="255">
        <f t="shared" si="1654"/>
        <v>0.316062176165803</v>
      </c>
      <c r="AN447" s="255">
        <f t="shared" si="1654"/>
        <v>0.293269230769231</v>
      </c>
      <c r="AO447" s="255">
        <f t="shared" si="1654"/>
        <v>0.219148936170213</v>
      </c>
      <c r="AP447" s="255">
        <f t="shared" si="1654"/>
        <v>0.218623481781377</v>
      </c>
      <c r="AQ447" s="254">
        <f t="shared" si="1654"/>
        <v>0.218623481781377</v>
      </c>
      <c r="AR447" s="255">
        <f t="shared" si="1654"/>
        <v>0.234251968503937</v>
      </c>
      <c r="AS447" s="255">
        <f t="shared" ref="AS447:BX447" si="1655">(AS446/AN446)-1</f>
        <v>0.215613382899628</v>
      </c>
      <c r="AT447" s="255">
        <f t="shared" si="1655"/>
        <v>0.25305410122164</v>
      </c>
      <c r="AU447" s="255">
        <f t="shared" si="1655"/>
        <v>0.229235880398671</v>
      </c>
      <c r="AV447" s="254">
        <f t="shared" si="1655"/>
        <v>0.229235880398671</v>
      </c>
      <c r="AW447" s="255">
        <f t="shared" si="1655"/>
        <v>0.218500797448166</v>
      </c>
      <c r="AX447" s="255">
        <f t="shared" si="1655"/>
        <v>0.203363914373089</v>
      </c>
      <c r="AY447" s="255">
        <f t="shared" si="1655"/>
        <v>0.181058495821727</v>
      </c>
      <c r="AZ447" s="255">
        <f t="shared" si="1655"/>
        <v>0.2</v>
      </c>
      <c r="BA447" s="254">
        <f t="shared" si="1655"/>
        <v>0.2</v>
      </c>
      <c r="BB447" s="255">
        <f t="shared" si="1655"/>
        <v>0.218586387434555</v>
      </c>
      <c r="BC447" s="255">
        <f t="shared" si="1655"/>
        <v>0.251588310038119</v>
      </c>
      <c r="BD447" s="255">
        <f t="shared" si="1655"/>
        <v>0.221698113207547</v>
      </c>
      <c r="BE447" s="255">
        <f t="shared" si="1655"/>
        <v>0.206081081081081</v>
      </c>
      <c r="BF447" s="254">
        <f t="shared" si="1655"/>
        <v>0.206081081081081</v>
      </c>
      <c r="BG447" s="255">
        <f t="shared" si="1655"/>
        <v>0.176154672395274</v>
      </c>
      <c r="BH447" s="255">
        <f t="shared" si="1655"/>
        <v>0.134010152284264</v>
      </c>
      <c r="BI447" s="255">
        <f t="shared" si="1655"/>
        <v>0.104247104247104</v>
      </c>
      <c r="BJ447" s="255">
        <f t="shared" si="1655"/>
        <v>0.111111111111111</v>
      </c>
      <c r="BK447" s="254">
        <f t="shared" si="1655"/>
        <v>0.111111111111111</v>
      </c>
      <c r="BL447" s="255">
        <f t="shared" si="1655"/>
        <v>0.0995433789954339</v>
      </c>
      <c r="BM447" s="255">
        <f t="shared" si="1655"/>
        <v>0.108325872873769</v>
      </c>
      <c r="BN447" s="255">
        <f t="shared" si="1655"/>
        <v>0.0419580419580421</v>
      </c>
      <c r="BO447" s="255">
        <f t="shared" si="1655"/>
        <v>0.00168067226890756</v>
      </c>
      <c r="BP447" s="254">
        <f t="shared" si="1655"/>
        <v>0.00168067226890756</v>
      </c>
      <c r="BQ447" s="255">
        <f t="shared" si="1655"/>
        <v>0.0606312292358804</v>
      </c>
      <c r="BR447" s="255">
        <f t="shared" si="1655"/>
        <v>0.0525040387722131</v>
      </c>
      <c r="BS447" s="255">
        <f t="shared" si="1655"/>
        <v>0.135906040268456</v>
      </c>
      <c r="BT447" s="255">
        <f t="shared" si="1655"/>
        <v>0.196308724832215</v>
      </c>
      <c r="BU447" s="254">
        <f t="shared" si="1655"/>
        <v>0.196308724832215</v>
      </c>
      <c r="BV447" s="255">
        <f t="shared" si="1655"/>
        <v>0.148003132341425</v>
      </c>
      <c r="BW447" s="255">
        <f t="shared" si="1655"/>
        <v>0.168073676132003</v>
      </c>
      <c r="BX447" s="255">
        <f t="shared" si="1655"/>
        <v>0.184638109305761</v>
      </c>
      <c r="BY447" s="255">
        <f t="shared" ref="BY447:CR447" si="1656">(BY446/BT446)-1</f>
        <v>0.178120617110799</v>
      </c>
      <c r="BZ447" s="254">
        <f t="shared" si="1656"/>
        <v>0.178120617110799</v>
      </c>
      <c r="CA447" s="255">
        <f t="shared" si="1656"/>
        <v>0.154160982264666</v>
      </c>
      <c r="CB447" s="255">
        <f t="shared" si="1656"/>
        <v>0.154402102496715</v>
      </c>
      <c r="CC447" s="255">
        <f t="shared" si="1656"/>
        <v>0.127182044887781</v>
      </c>
      <c r="CD447" s="255">
        <f t="shared" si="1656"/>
        <v>0.105952380952381</v>
      </c>
      <c r="CE447" s="254">
        <f t="shared" si="1656"/>
        <v>0.105952380952381</v>
      </c>
      <c r="CF447" s="255">
        <f t="shared" si="1656"/>
        <v>0.100472813238771</v>
      </c>
      <c r="CG447" s="255">
        <f t="shared" si="1656"/>
        <v>0.0842344906089927</v>
      </c>
      <c r="CH447" s="255">
        <f t="shared" si="1656"/>
        <v>0.107300884955752</v>
      </c>
      <c r="CI447" s="255">
        <f t="shared" si="1656"/>
        <v>0.143702906350915</v>
      </c>
      <c r="CJ447" s="254">
        <f t="shared" si="1656"/>
        <v>0.143702906350915</v>
      </c>
      <c r="CK447" s="255">
        <f t="shared" si="1656"/>
        <v>0.157357679914071</v>
      </c>
      <c r="CL447" s="255">
        <f t="shared" si="1656"/>
        <v>0.185301837270341</v>
      </c>
      <c r="CM447" s="255">
        <f t="shared" si="1656"/>
        <v>0.193806193806194</v>
      </c>
      <c r="CN447" s="255">
        <f t="shared" si="1656"/>
        <v>0.211764705882353</v>
      </c>
      <c r="CO447" s="254">
        <f t="shared" si="1656"/>
        <v>0.211764705882353</v>
      </c>
      <c r="CP447" s="255">
        <f t="shared" si="1656"/>
        <v>0.221345707656613</v>
      </c>
      <c r="CQ447" s="255">
        <f t="shared" si="1656"/>
        <v>0.191762621789194</v>
      </c>
      <c r="CR447" s="255">
        <f t="shared" si="1656"/>
        <v>0.170292887029289</v>
      </c>
      <c r="CS447" s="255">
        <f t="shared" ref="CS447:CT447" si="1657">(CS446/CN446)-1</f>
        <v>0.152233009708738</v>
      </c>
      <c r="CT447" s="254">
        <f t="shared" si="1657"/>
        <v>0.152233009708738</v>
      </c>
      <c r="CU447" s="255"/>
      <c r="CV447" s="255"/>
      <c r="CW447" s="255"/>
      <c r="CX447" s="255"/>
      <c r="CY447" s="254"/>
      <c r="CZ447" s="255"/>
      <c r="DA447" s="255"/>
      <c r="DB447" s="255"/>
      <c r="DC447" s="255"/>
      <c r="DD447" s="254"/>
      <c r="DE447" s="255"/>
      <c r="DF447" s="255"/>
      <c r="DG447" s="255"/>
      <c r="DH447" s="255"/>
      <c r="DI447" s="254"/>
      <c r="DJ447" s="255"/>
      <c r="DK447" s="255"/>
      <c r="DL447" s="255"/>
      <c r="DM447" s="255"/>
      <c r="DN447" s="254"/>
      <c r="DO447" s="255"/>
      <c r="DP447" s="255"/>
      <c r="DQ447" s="255"/>
      <c r="DR447" s="255"/>
      <c r="DS447" s="254"/>
    </row>
    <row r="448" hidden="1" outlineLevel="1" spans="2:123">
      <c r="B448" s="277" t="s">
        <v>464</v>
      </c>
      <c r="C448" s="447"/>
      <c r="D448" s="269">
        <f>AVERAGE(D446,C446)</f>
        <v>0.040299</v>
      </c>
      <c r="E448" s="269">
        <f>AVERAGE(E446,D446)</f>
        <v>0.046251</v>
      </c>
      <c r="F448" s="269">
        <f>AVERAGE(F446,E446)</f>
        <v>0.0511355</v>
      </c>
      <c r="G448" s="269">
        <f>AVERAGE(G446,F446)</f>
        <v>0.063157</v>
      </c>
      <c r="H448" s="447">
        <f>AVERAGE(D446:G446)</f>
        <v>0.054704</v>
      </c>
      <c r="I448" s="269">
        <f>AVERAGE(I446,H446)</f>
        <v>0.077874</v>
      </c>
      <c r="J448" s="269">
        <f>AVERAGE(J446,I446)</f>
        <v>0.0872235</v>
      </c>
      <c r="K448" s="269">
        <f>AVERAGE(K446,J446)</f>
        <v>0.096989</v>
      </c>
      <c r="L448" s="269">
        <f>AVERAGE(L446,K446)</f>
        <v>0.109943</v>
      </c>
      <c r="M448" s="447">
        <f>AVERAGE(I446:L446)</f>
        <v>0.09858325</v>
      </c>
      <c r="N448" s="269">
        <f>AVERAGE(N446,M446)</f>
        <v>0.12402</v>
      </c>
      <c r="O448" s="269">
        <f>AVERAGE(O446,N446)</f>
        <v>0.14152</v>
      </c>
      <c r="P448" s="269">
        <f>AVERAGE(P446,O446)</f>
        <v>0.16027</v>
      </c>
      <c r="Q448" s="269">
        <f>AVERAGE(Q446,P446)</f>
        <v>0.17777</v>
      </c>
      <c r="R448" s="447">
        <f>AVERAGE(N446:Q446)</f>
        <v>0.159645</v>
      </c>
      <c r="S448" s="269">
        <f>AVERAGE(S446,R446)</f>
        <v>0.19402</v>
      </c>
      <c r="T448" s="269">
        <f>AVERAGE(T446,S446)</f>
        <v>0.21652</v>
      </c>
      <c r="U448" s="269">
        <f>AVERAGE(U446,T446)</f>
        <v>0.25277</v>
      </c>
      <c r="V448" s="269">
        <f>AVERAGE(V446,U446)</f>
        <v>0.27402</v>
      </c>
      <c r="W448" s="447">
        <f>AVERAGE(S446:V446)</f>
        <v>0.24527</v>
      </c>
      <c r="X448" s="269">
        <f>AVERAGE(X446,W446)</f>
        <v>0.27402</v>
      </c>
      <c r="Y448" s="269">
        <f>AVERAGE(Y446,X446)</f>
        <v>0.27542</v>
      </c>
      <c r="Z448" s="269">
        <f>AVERAGE(Z446,Y446)</f>
        <v>0.27962</v>
      </c>
      <c r="AA448" s="269">
        <f>AVERAGE(AA446,Z446)</f>
        <v>0.29921</v>
      </c>
      <c r="AB448" s="447">
        <f>AVERAGE(X446:AA446)</f>
        <v>0.287315</v>
      </c>
      <c r="AC448" s="269">
        <f>AVERAGE(AC446,AB446)</f>
        <v>0.3205</v>
      </c>
      <c r="AD448" s="269">
        <f>AVERAGE(AD446,AC446)</f>
        <v>0.3375</v>
      </c>
      <c r="AE448" s="269">
        <f>AVERAGE(AE446,AD446)</f>
        <v>0.357</v>
      </c>
      <c r="AF448" s="269">
        <f>AVERAGE(AF446,AE446)</f>
        <v>0.369</v>
      </c>
      <c r="AG448" s="447">
        <f>AVERAGE(AC446:AF446)</f>
        <v>0.35325</v>
      </c>
      <c r="AH448" s="269">
        <f>AVERAGE(AH446,AG446)</f>
        <v>0.38</v>
      </c>
      <c r="AI448" s="269">
        <f>AVERAGE(AI446,AH446)</f>
        <v>0.401</v>
      </c>
      <c r="AJ448" s="269">
        <f>AVERAGE(AJ446,AI446)</f>
        <v>0.443</v>
      </c>
      <c r="AK448" s="269">
        <f>AVERAGE(AK446,AJ446)</f>
        <v>0.482</v>
      </c>
      <c r="AL448" s="447">
        <f>AVERAGE(AH446:AK446)</f>
        <v>0.4415</v>
      </c>
      <c r="AM448" s="269">
        <f>AVERAGE(AM446,AL446)</f>
        <v>0.501</v>
      </c>
      <c r="AN448" s="269">
        <f>AVERAGE(AN446,AM446)</f>
        <v>0.523</v>
      </c>
      <c r="AO448" s="269">
        <f>AVERAGE(AO446,AN446)</f>
        <v>0.5555</v>
      </c>
      <c r="AP448" s="269">
        <f>AVERAGE(AP446,AO446)</f>
        <v>0.5875</v>
      </c>
      <c r="AQ448" s="447">
        <f>AVERAGE(AM446:AP446)</f>
        <v>0.55525</v>
      </c>
      <c r="AR448" s="269">
        <f>AVERAGE(AR446,AQ446)</f>
        <v>0.6145</v>
      </c>
      <c r="AS448" s="269">
        <f>AVERAGE(AS446,AR446)</f>
        <v>0.6405</v>
      </c>
      <c r="AT448" s="269">
        <f>AVERAGE(AT446,AS446)</f>
        <v>0.686</v>
      </c>
      <c r="AU448" s="269">
        <f>AVERAGE(AU446,AT446)</f>
        <v>0.729</v>
      </c>
      <c r="AV448" s="447">
        <f>AVERAGE(AR446:AU446)</f>
        <v>0.68475</v>
      </c>
      <c r="AW448" s="269">
        <f>AVERAGE(AW446,AV446)</f>
        <v>0.752</v>
      </c>
      <c r="AX448" s="269">
        <f>AVERAGE(AX446,AW446)</f>
        <v>0.7755</v>
      </c>
      <c r="AY448" s="269">
        <f>AVERAGE(AY446,AX446)</f>
        <v>0.8175</v>
      </c>
      <c r="AZ448" s="269">
        <f>AVERAGE(AZ446,AY446)</f>
        <v>0.868</v>
      </c>
      <c r="BA448" s="447">
        <f>AVERAGE(AW446:AZ446)</f>
        <v>0.82175</v>
      </c>
      <c r="BB448" s="269">
        <f>AVERAGE(BB446,BA446)</f>
        <v>0.9095</v>
      </c>
      <c r="BC448" s="269">
        <f>AVERAGE(BC446,BB446)</f>
        <v>0.958</v>
      </c>
      <c r="BD448" s="269">
        <f>AVERAGE(BD446,BC446)</f>
        <v>1.0105</v>
      </c>
      <c r="BE448" s="269">
        <f>AVERAGE(BE446,BD446)</f>
        <v>1.0535</v>
      </c>
      <c r="BF448" s="447">
        <f>AVERAGE(BB446:BE446)</f>
        <v>1.00575</v>
      </c>
      <c r="BG448" s="269">
        <f>AVERAGE(BG446,BF446)</f>
        <v>1.083</v>
      </c>
      <c r="BH448" s="269">
        <f>AVERAGE(BH446,BG446)</f>
        <v>1.106</v>
      </c>
      <c r="BI448" s="269">
        <f>AVERAGE(BI446,BH446)</f>
        <v>1.1305</v>
      </c>
      <c r="BJ448" s="269">
        <f>AVERAGE(BJ446,BI446)</f>
        <v>1.167</v>
      </c>
      <c r="BK448" s="447">
        <f>AVERAGE(BG446:BJ446)</f>
        <v>1.1365</v>
      </c>
      <c r="BL448" s="269">
        <f>AVERAGE(BL446,BK446)</f>
        <v>1.197</v>
      </c>
      <c r="BM448" s="269">
        <f>AVERAGE(BM446,BL446)</f>
        <v>1.221</v>
      </c>
      <c r="BN448" s="269">
        <f>AVERAGE(BN446,BM446)</f>
        <v>1.215</v>
      </c>
      <c r="BO448" s="269">
        <f>AVERAGE(BO446,BN446)</f>
        <v>1.192</v>
      </c>
      <c r="BP448" s="447">
        <f>AVERAGE(BL446:BO446)</f>
        <v>1.2065</v>
      </c>
      <c r="BQ448" s="269">
        <f>AVERAGE(BQ446,BP446)</f>
        <v>1.2345</v>
      </c>
      <c r="BR448" s="269">
        <f>AVERAGE(BR446,BQ446)</f>
        <v>1.29</v>
      </c>
      <c r="BS448" s="269">
        <f>AVERAGE(BS446,BR446)</f>
        <v>1.3285</v>
      </c>
      <c r="BT448" s="269">
        <f>AVERAGE(BT446,BS446)</f>
        <v>1.39</v>
      </c>
      <c r="BU448" s="447">
        <f>AVERAGE(BQ446:BT446)</f>
        <v>1.34</v>
      </c>
      <c r="BV448" s="269">
        <f>AVERAGE(BV446,BU446)</f>
        <v>1.446</v>
      </c>
      <c r="BW448" s="269">
        <f>AVERAGE(BW446,BV446)</f>
        <v>1.494</v>
      </c>
      <c r="BX448" s="269">
        <f>AVERAGE(BX446,BW446)</f>
        <v>1.563</v>
      </c>
      <c r="BY448" s="269">
        <f>AVERAGE(BY446,BX446)</f>
        <v>1.642</v>
      </c>
      <c r="BZ448" s="447">
        <f>AVERAGE(BV446:BY446)</f>
        <v>1.568</v>
      </c>
      <c r="CA448" s="269">
        <f>AVERAGE(CA446,BZ446)</f>
        <v>1.686</v>
      </c>
      <c r="CB448" s="269">
        <f>AVERAGE(CB446,CA446)</f>
        <v>1.7245</v>
      </c>
      <c r="CC448" s="269">
        <f>AVERAGE(CC446,CB446)</f>
        <v>1.7825</v>
      </c>
      <c r="CD448" s="269">
        <f>AVERAGE(CD446,CC446)</f>
        <v>1.833</v>
      </c>
      <c r="CE448" s="447">
        <f>AVERAGE(CA446:CD446)</f>
        <v>1.77875</v>
      </c>
      <c r="CF448" s="269">
        <f>AVERAGE(CF446,CE446)</f>
        <v>1.86</v>
      </c>
      <c r="CG448" s="269">
        <f>AVERAGE(CG446,CF446)</f>
        <v>1.8835</v>
      </c>
      <c r="CH448" s="269">
        <f>AVERAGE(CH446,CG446)</f>
        <v>1.9535</v>
      </c>
      <c r="CI448" s="269">
        <f>AVERAGE(CI446,CH446)</f>
        <v>2.0635</v>
      </c>
      <c r="CJ448" s="447">
        <f>AVERAGE(CF446:CI446)</f>
        <v>1.9735</v>
      </c>
      <c r="CK448" s="269">
        <f>AVERAGE(CK446,CJ446)</f>
        <v>2.14</v>
      </c>
      <c r="CL448" s="269">
        <f>AVERAGE(CL446,CK446)</f>
        <v>2.2065</v>
      </c>
      <c r="CM448" s="269">
        <f>AVERAGE(CM446,CL446)</f>
        <v>2.324</v>
      </c>
      <c r="CN448" s="269">
        <f>AVERAGE(CN446,CM446)</f>
        <v>2.4825</v>
      </c>
      <c r="CO448" s="447">
        <f>AVERAGE(CK446:CN446)</f>
        <v>2.3445</v>
      </c>
      <c r="CP448" s="269">
        <f>AVERAGE(CP446,CO446)</f>
        <v>2.6035</v>
      </c>
      <c r="CQ448" s="269">
        <f>AVERAGE(CQ446,CP446)</f>
        <v>2.6615</v>
      </c>
      <c r="CR448" s="269">
        <f>AVERAGE(CR446,CQ446)</f>
        <v>2.744</v>
      </c>
      <c r="CS448" s="269">
        <f>AVERAGE(CS446,CR446)</f>
        <v>2.882</v>
      </c>
      <c r="CT448" s="447">
        <f>AVERAGE(CP446:CS446)</f>
        <v>2.77175</v>
      </c>
      <c r="CU448" s="269"/>
      <c r="CV448" s="269"/>
      <c r="CW448" s="269"/>
      <c r="CX448" s="269"/>
      <c r="CY448" s="447"/>
      <c r="CZ448" s="269"/>
      <c r="DA448" s="269"/>
      <c r="DB448" s="269"/>
      <c r="DC448" s="269"/>
      <c r="DD448" s="447"/>
      <c r="DE448" s="269"/>
      <c r="DF448" s="269"/>
      <c r="DG448" s="269"/>
      <c r="DH448" s="269"/>
      <c r="DI448" s="447"/>
      <c r="DJ448" s="269"/>
      <c r="DK448" s="269"/>
      <c r="DL448" s="269"/>
      <c r="DM448" s="269"/>
      <c r="DN448" s="447"/>
      <c r="DO448" s="269"/>
      <c r="DP448" s="269"/>
      <c r="DQ448" s="269"/>
      <c r="DR448" s="269"/>
      <c r="DS448" s="447"/>
    </row>
    <row r="449" hidden="1" outlineLevel="1" spans="2:123">
      <c r="B449" s="149" t="s">
        <v>69</v>
      </c>
      <c r="C449" s="150"/>
      <c r="D449" s="151"/>
      <c r="E449" s="151"/>
      <c r="F449" s="151"/>
      <c r="G449" s="151"/>
      <c r="H449" s="254"/>
      <c r="I449" s="255">
        <f t="shared" ref="I449:AN449" si="1658">(I448/D448)-1</f>
        <v>0.932405270602248</v>
      </c>
      <c r="J449" s="255">
        <f t="shared" si="1658"/>
        <v>0.885872737886748</v>
      </c>
      <c r="K449" s="255">
        <f t="shared" si="1658"/>
        <v>0.896705811031475</v>
      </c>
      <c r="L449" s="255">
        <f t="shared" si="1658"/>
        <v>0.740788827841728</v>
      </c>
      <c r="M449" s="254">
        <f t="shared" si="1658"/>
        <v>0.802121417081018</v>
      </c>
      <c r="N449" s="255">
        <f t="shared" si="1658"/>
        <v>0.592572617304877</v>
      </c>
      <c r="O449" s="255">
        <f t="shared" si="1658"/>
        <v>0.622498523906975</v>
      </c>
      <c r="P449" s="255">
        <f t="shared" si="1658"/>
        <v>0.652455433090351</v>
      </c>
      <c r="Q449" s="255">
        <f t="shared" si="1658"/>
        <v>0.616928772181949</v>
      </c>
      <c r="R449" s="254">
        <f t="shared" si="1658"/>
        <v>0.619392746739431</v>
      </c>
      <c r="S449" s="255">
        <f t="shared" si="1658"/>
        <v>0.564425092726979</v>
      </c>
      <c r="T449" s="255">
        <f t="shared" si="1658"/>
        <v>0.529960429621255</v>
      </c>
      <c r="U449" s="255">
        <f t="shared" si="1658"/>
        <v>0.577151057590316</v>
      </c>
      <c r="V449" s="255">
        <f t="shared" si="1658"/>
        <v>0.541429937559768</v>
      </c>
      <c r="W449" s="254">
        <f t="shared" si="1658"/>
        <v>0.536346268282752</v>
      </c>
      <c r="X449" s="255">
        <f t="shared" si="1658"/>
        <v>0.412328625914854</v>
      </c>
      <c r="Y449" s="255">
        <f t="shared" si="1658"/>
        <v>0.272030297432108</v>
      </c>
      <c r="Z449" s="255">
        <f t="shared" si="1658"/>
        <v>0.106223048621276</v>
      </c>
      <c r="AA449" s="255">
        <f t="shared" si="1658"/>
        <v>0.0919275965258011</v>
      </c>
      <c r="AB449" s="254">
        <f t="shared" si="1658"/>
        <v>0.171423329392099</v>
      </c>
      <c r="AC449" s="255">
        <f t="shared" si="1658"/>
        <v>0.169622655280637</v>
      </c>
      <c r="AD449" s="255">
        <f t="shared" si="1658"/>
        <v>0.225401205431704</v>
      </c>
      <c r="AE449" s="255">
        <f t="shared" si="1658"/>
        <v>0.27673270867606</v>
      </c>
      <c r="AF449" s="255">
        <f t="shared" si="1658"/>
        <v>0.233247551886635</v>
      </c>
      <c r="AG449" s="254">
        <f t="shared" si="1658"/>
        <v>0.229486800201869</v>
      </c>
      <c r="AH449" s="255">
        <f t="shared" si="1658"/>
        <v>0.185647425897036</v>
      </c>
      <c r="AI449" s="255">
        <f t="shared" si="1658"/>
        <v>0.188148148148148</v>
      </c>
      <c r="AJ449" s="255">
        <f t="shared" si="1658"/>
        <v>0.240896358543418</v>
      </c>
      <c r="AK449" s="255">
        <f t="shared" si="1658"/>
        <v>0.306233062330623</v>
      </c>
      <c r="AL449" s="254">
        <f t="shared" si="1658"/>
        <v>0.249823071479122</v>
      </c>
      <c r="AM449" s="255">
        <f t="shared" si="1658"/>
        <v>0.318421052631579</v>
      </c>
      <c r="AN449" s="255">
        <f t="shared" si="1658"/>
        <v>0.304239401496259</v>
      </c>
      <c r="AO449" s="255">
        <f t="shared" ref="AO449:BT449" si="1659">(AO448/AJ448)-1</f>
        <v>0.253950338600452</v>
      </c>
      <c r="AP449" s="255">
        <f t="shared" si="1659"/>
        <v>0.218879668049793</v>
      </c>
      <c r="AQ449" s="254">
        <f t="shared" si="1659"/>
        <v>0.257644394110985</v>
      </c>
      <c r="AR449" s="255">
        <f t="shared" si="1659"/>
        <v>0.226546906187625</v>
      </c>
      <c r="AS449" s="255">
        <f t="shared" si="1659"/>
        <v>0.224665391969407</v>
      </c>
      <c r="AT449" s="255">
        <f t="shared" si="1659"/>
        <v>0.234923492349234</v>
      </c>
      <c r="AU449" s="255">
        <f t="shared" si="1659"/>
        <v>0.240851063829787</v>
      </c>
      <c r="AV449" s="254">
        <f t="shared" si="1659"/>
        <v>0.233228275551553</v>
      </c>
      <c r="AW449" s="255">
        <f t="shared" si="1659"/>
        <v>0.223759153783564</v>
      </c>
      <c r="AX449" s="255">
        <f t="shared" si="1659"/>
        <v>0.210772833723653</v>
      </c>
      <c r="AY449" s="255">
        <f t="shared" si="1659"/>
        <v>0.191690962099125</v>
      </c>
      <c r="AZ449" s="255">
        <f t="shared" si="1659"/>
        <v>0.190672153635117</v>
      </c>
      <c r="BA449" s="254">
        <f t="shared" si="1659"/>
        <v>0.200073019350128</v>
      </c>
      <c r="BB449" s="255">
        <f t="shared" si="1659"/>
        <v>0.209441489361702</v>
      </c>
      <c r="BC449" s="255">
        <f t="shared" si="1659"/>
        <v>0.235332043842682</v>
      </c>
      <c r="BD449" s="255">
        <f t="shared" si="1659"/>
        <v>0.236085626911315</v>
      </c>
      <c r="BE449" s="255">
        <f t="shared" si="1659"/>
        <v>0.213709677419355</v>
      </c>
      <c r="BF449" s="254">
        <f t="shared" si="1659"/>
        <v>0.223912382111348</v>
      </c>
      <c r="BG449" s="255">
        <f t="shared" si="1659"/>
        <v>0.190764156129742</v>
      </c>
      <c r="BH449" s="255">
        <f t="shared" si="1659"/>
        <v>0.154488517745303</v>
      </c>
      <c r="BI449" s="255">
        <f t="shared" si="1659"/>
        <v>0.118753092528451</v>
      </c>
      <c r="BJ449" s="255">
        <f t="shared" si="1659"/>
        <v>0.107736117702895</v>
      </c>
      <c r="BK449" s="254">
        <f t="shared" si="1659"/>
        <v>0.130002485707184</v>
      </c>
      <c r="BL449" s="255">
        <f t="shared" si="1659"/>
        <v>0.105263157894737</v>
      </c>
      <c r="BM449" s="255">
        <f t="shared" si="1659"/>
        <v>0.103978300180832</v>
      </c>
      <c r="BN449" s="255">
        <f t="shared" si="1659"/>
        <v>0.0747456877487835</v>
      </c>
      <c r="BO449" s="255">
        <f t="shared" si="1659"/>
        <v>0.0214224507283634</v>
      </c>
      <c r="BP449" s="254">
        <f t="shared" si="1659"/>
        <v>0.0615926088869339</v>
      </c>
      <c r="BQ449" s="255">
        <f t="shared" si="1659"/>
        <v>0.031328320802005</v>
      </c>
      <c r="BR449" s="255">
        <f t="shared" si="1659"/>
        <v>0.0565110565110565</v>
      </c>
      <c r="BS449" s="255">
        <f t="shared" si="1659"/>
        <v>0.0934156378600823</v>
      </c>
      <c r="BT449" s="255">
        <f t="shared" si="1659"/>
        <v>0.166107382550336</v>
      </c>
      <c r="BU449" s="254">
        <f t="shared" ref="BU449:CR449" si="1660">(BU448/BP448)-1</f>
        <v>0.110650642353916</v>
      </c>
      <c r="BV449" s="255">
        <f t="shared" si="1660"/>
        <v>0.171324422843256</v>
      </c>
      <c r="BW449" s="255">
        <f t="shared" si="1660"/>
        <v>0.158139534883721</v>
      </c>
      <c r="BX449" s="255">
        <f t="shared" si="1660"/>
        <v>0.176514866390666</v>
      </c>
      <c r="BY449" s="255">
        <f t="shared" si="1660"/>
        <v>0.181294964028777</v>
      </c>
      <c r="BZ449" s="254">
        <f t="shared" si="1660"/>
        <v>0.170149253731343</v>
      </c>
      <c r="CA449" s="255">
        <f t="shared" si="1660"/>
        <v>0.16597510373444</v>
      </c>
      <c r="CB449" s="255">
        <f t="shared" si="1660"/>
        <v>0.154283801874163</v>
      </c>
      <c r="CC449" s="255">
        <f t="shared" si="1660"/>
        <v>0.14043506078055</v>
      </c>
      <c r="CD449" s="255">
        <f t="shared" si="1660"/>
        <v>0.1163215590743</v>
      </c>
      <c r="CE449" s="254">
        <f t="shared" si="1660"/>
        <v>0.134406887755102</v>
      </c>
      <c r="CF449" s="255">
        <f t="shared" si="1660"/>
        <v>0.103202846975089</v>
      </c>
      <c r="CG449" s="255">
        <f t="shared" si="1660"/>
        <v>0.0922006378660483</v>
      </c>
      <c r="CH449" s="255">
        <f t="shared" si="1660"/>
        <v>0.0959326788218795</v>
      </c>
      <c r="CI449" s="255">
        <f t="shared" si="1660"/>
        <v>0.125750136388434</v>
      </c>
      <c r="CJ449" s="254">
        <f t="shared" si="1660"/>
        <v>0.109486999297259</v>
      </c>
      <c r="CK449" s="255">
        <f t="shared" si="1660"/>
        <v>0.150537634408602</v>
      </c>
      <c r="CL449" s="255">
        <f t="shared" si="1660"/>
        <v>0.17148924873905</v>
      </c>
      <c r="CM449" s="255">
        <f t="shared" si="1660"/>
        <v>0.189659585359611</v>
      </c>
      <c r="CN449" s="255">
        <f t="shared" si="1660"/>
        <v>0.203053065180518</v>
      </c>
      <c r="CO449" s="254">
        <f t="shared" si="1660"/>
        <v>0.187990879148721</v>
      </c>
      <c r="CP449" s="255">
        <f t="shared" si="1660"/>
        <v>0.216588785046729</v>
      </c>
      <c r="CQ449" s="255">
        <f t="shared" si="1660"/>
        <v>0.20620892816678</v>
      </c>
      <c r="CR449" s="255">
        <f t="shared" si="1660"/>
        <v>0.180722891566265</v>
      </c>
      <c r="CS449" s="255">
        <f t="shared" ref="CS449:CT449" si="1661">(CS448/CN448)-1</f>
        <v>0.160926485397785</v>
      </c>
      <c r="CT449" s="254">
        <f t="shared" si="1661"/>
        <v>0.182235018127533</v>
      </c>
      <c r="CU449" s="255"/>
      <c r="CV449" s="255"/>
      <c r="CW449" s="255"/>
      <c r="CX449" s="255"/>
      <c r="CY449" s="254"/>
      <c r="CZ449" s="255"/>
      <c r="DA449" s="255"/>
      <c r="DB449" s="255"/>
      <c r="DC449" s="255"/>
      <c r="DD449" s="254"/>
      <c r="DE449" s="255"/>
      <c r="DF449" s="255"/>
      <c r="DG449" s="255"/>
      <c r="DH449" s="255"/>
      <c r="DI449" s="254"/>
      <c r="DJ449" s="255"/>
      <c r="DK449" s="255"/>
      <c r="DL449" s="255"/>
      <c r="DM449" s="255"/>
      <c r="DN449" s="254"/>
      <c r="DO449" s="255"/>
      <c r="DP449" s="255"/>
      <c r="DQ449" s="255"/>
      <c r="DR449" s="255"/>
      <c r="DS449" s="254"/>
    </row>
    <row r="450" hidden="1" outlineLevel="1" spans="2:123">
      <c r="B450" s="245" t="s">
        <v>465</v>
      </c>
      <c r="C450" s="447"/>
      <c r="D450" s="269">
        <f t="shared" ref="D450:BO450" si="1662">(D446/D396)*1000</f>
        <v>2.62541176470588</v>
      </c>
      <c r="E450" s="269">
        <f t="shared" si="1662"/>
        <v>2.65944444444444</v>
      </c>
      <c r="F450" s="269">
        <f t="shared" si="1662"/>
        <v>2.59052380952381</v>
      </c>
      <c r="G450" s="269">
        <f t="shared" si="1662"/>
        <v>2.66344444444444</v>
      </c>
      <c r="H450" s="448">
        <f t="shared" si="1662"/>
        <v>2.66344444444444</v>
      </c>
      <c r="I450" s="449">
        <f t="shared" si="1662"/>
        <v>2.7945</v>
      </c>
      <c r="J450" s="449">
        <f t="shared" si="1662"/>
        <v>2.74581818181818</v>
      </c>
      <c r="K450" s="449">
        <f t="shared" si="1662"/>
        <v>2.79367567567568</v>
      </c>
      <c r="L450" s="449">
        <f t="shared" si="1662"/>
        <v>2.84195121951219</v>
      </c>
      <c r="M450" s="448">
        <f t="shared" si="1662"/>
        <v>2.84195121951219</v>
      </c>
      <c r="N450" s="449">
        <f t="shared" si="1662"/>
        <v>2.85913043478261</v>
      </c>
      <c r="O450" s="449">
        <f t="shared" si="1662"/>
        <v>2.91384615384615</v>
      </c>
      <c r="P450" s="449">
        <f t="shared" si="1662"/>
        <v>2.72612903225806</v>
      </c>
      <c r="Q450" s="449">
        <f t="shared" si="1662"/>
        <v>2.62704225352113</v>
      </c>
      <c r="R450" s="448">
        <f t="shared" si="1662"/>
        <v>2.62704225352113</v>
      </c>
      <c r="S450" s="449">
        <f t="shared" si="1662"/>
        <v>2.72324324324324</v>
      </c>
      <c r="T450" s="449">
        <f t="shared" si="1662"/>
        <v>2.894</v>
      </c>
      <c r="U450" s="449">
        <f t="shared" si="1662"/>
        <v>2.79612244897959</v>
      </c>
      <c r="V450" s="449">
        <f t="shared" si="1662"/>
        <v>2.66038834951456</v>
      </c>
      <c r="W450" s="448">
        <f t="shared" si="1662"/>
        <v>2.66038834951456</v>
      </c>
      <c r="X450" s="449">
        <f t="shared" si="1662"/>
        <v>2.66038834951456</v>
      </c>
      <c r="Y450" s="449">
        <f t="shared" si="1662"/>
        <v>2.66173076923077</v>
      </c>
      <c r="Z450" s="449">
        <f t="shared" si="1662"/>
        <v>2.66433962264151</v>
      </c>
      <c r="AA450" s="449">
        <f t="shared" si="1662"/>
        <v>2.79646017699115</v>
      </c>
      <c r="AB450" s="448">
        <f t="shared" si="1662"/>
        <v>2.79646017699115</v>
      </c>
      <c r="AC450" s="449">
        <f t="shared" si="1662"/>
        <v>2.85087719298246</v>
      </c>
      <c r="AD450" s="449">
        <f t="shared" si="1662"/>
        <v>2.77777777777778</v>
      </c>
      <c r="AE450" s="449">
        <f t="shared" si="1662"/>
        <v>2.8</v>
      </c>
      <c r="AF450" s="449">
        <f t="shared" si="1662"/>
        <v>2.81203007518797</v>
      </c>
      <c r="AG450" s="448">
        <f t="shared" si="1662"/>
        <v>2.81203007518797</v>
      </c>
      <c r="AH450" s="449">
        <f t="shared" si="1662"/>
        <v>2.79710144927536</v>
      </c>
      <c r="AI450" s="449">
        <f t="shared" si="1662"/>
        <v>2.82993197278912</v>
      </c>
      <c r="AJ450" s="449">
        <f t="shared" si="1662"/>
        <v>2.84848484848485</v>
      </c>
      <c r="AK450" s="449">
        <f t="shared" si="1662"/>
        <v>2.83908045977011</v>
      </c>
      <c r="AL450" s="448">
        <f t="shared" si="1662"/>
        <v>2.83908045977011</v>
      </c>
      <c r="AM450" s="449">
        <f t="shared" si="1662"/>
        <v>2.82222222222222</v>
      </c>
      <c r="AN450" s="449">
        <f t="shared" si="1662"/>
        <v>2.84656084656085</v>
      </c>
      <c r="AO450" s="449">
        <f t="shared" si="1662"/>
        <v>2.85074626865672</v>
      </c>
      <c r="AP450" s="449">
        <f t="shared" si="1662"/>
        <v>2.85308056872038</v>
      </c>
      <c r="AQ450" s="448">
        <f t="shared" si="1662"/>
        <v>2.85308056872038</v>
      </c>
      <c r="AR450" s="449">
        <f t="shared" si="1662"/>
        <v>2.87614678899083</v>
      </c>
      <c r="AS450" s="449">
        <f t="shared" si="1662"/>
        <v>2.89380530973451</v>
      </c>
      <c r="AT450" s="449">
        <f t="shared" si="1662"/>
        <v>2.90688259109312</v>
      </c>
      <c r="AU450" s="449">
        <f t="shared" si="1662"/>
        <v>2.91338582677165</v>
      </c>
      <c r="AV450" s="448">
        <f t="shared" si="1662"/>
        <v>2.91338582677165</v>
      </c>
      <c r="AW450" s="449">
        <f t="shared" si="1662"/>
        <v>2.90494296577947</v>
      </c>
      <c r="AX450" s="449">
        <f t="shared" si="1662"/>
        <v>2.91481481481481</v>
      </c>
      <c r="AY450" s="449">
        <f t="shared" si="1662"/>
        <v>2.93425605536332</v>
      </c>
      <c r="AZ450" s="449">
        <f t="shared" si="1662"/>
        <v>2.94039735099338</v>
      </c>
      <c r="BA450" s="448">
        <f t="shared" si="1662"/>
        <v>2.94039735099338</v>
      </c>
      <c r="BB450" s="449">
        <f t="shared" si="1662"/>
        <v>2.94620253164557</v>
      </c>
      <c r="BC450" s="449">
        <f t="shared" si="1662"/>
        <v>2.93154761904762</v>
      </c>
      <c r="BD450" s="449">
        <f t="shared" si="1662"/>
        <v>2.92655367231638</v>
      </c>
      <c r="BE450" s="449">
        <f t="shared" si="1662"/>
        <v>2.9504132231405</v>
      </c>
      <c r="BF450" s="448">
        <f t="shared" si="1662"/>
        <v>2.9504132231405</v>
      </c>
      <c r="BG450" s="449">
        <f t="shared" si="1662"/>
        <v>2.93565683646113</v>
      </c>
      <c r="BH450" s="449">
        <f t="shared" si="1662"/>
        <v>2.94722955145119</v>
      </c>
      <c r="BI450" s="449">
        <f t="shared" si="1662"/>
        <v>2.94087403598972</v>
      </c>
      <c r="BJ450" s="449">
        <f t="shared" si="1662"/>
        <v>2.93103448275862</v>
      </c>
      <c r="BK450" s="448">
        <f t="shared" si="1662"/>
        <v>2.93103448275862</v>
      </c>
      <c r="BL450" s="449">
        <f t="shared" si="1662"/>
        <v>2.9294403892944</v>
      </c>
      <c r="BM450" s="449">
        <f t="shared" si="1662"/>
        <v>2.94061757719715</v>
      </c>
      <c r="BN450" s="449">
        <f t="shared" si="1662"/>
        <v>3.07216494845361</v>
      </c>
      <c r="BO450" s="449">
        <f t="shared" si="1662"/>
        <v>2.95049504950495</v>
      </c>
      <c r="BP450" s="448">
        <f t="shared" ref="BP450:CT450" si="1663">(BP446/BP396)*1000</f>
        <v>2.95049504950495</v>
      </c>
      <c r="BQ450" s="449">
        <f t="shared" si="1663"/>
        <v>3.10705596107056</v>
      </c>
      <c r="BR450" s="449">
        <f t="shared" si="1663"/>
        <v>3.13975903614458</v>
      </c>
      <c r="BS450" s="449">
        <f t="shared" si="1663"/>
        <v>3.17840375586854</v>
      </c>
      <c r="BT450" s="449">
        <f t="shared" si="1663"/>
        <v>3.24090909090909</v>
      </c>
      <c r="BU450" s="448">
        <f t="shared" si="1663"/>
        <v>3.24090909090909</v>
      </c>
      <c r="BV450" s="449">
        <f t="shared" si="1663"/>
        <v>3.22197802197802</v>
      </c>
      <c r="BW450" s="449">
        <f t="shared" si="1663"/>
        <v>3.30869565217391</v>
      </c>
      <c r="BX450" s="449">
        <f t="shared" si="1663"/>
        <v>3.34864300626305</v>
      </c>
      <c r="BY450" s="449">
        <f t="shared" si="1663"/>
        <v>3.42158859470468</v>
      </c>
      <c r="BZ450" s="448">
        <f t="shared" si="1663"/>
        <v>3.42158859470468</v>
      </c>
      <c r="CA450" s="449">
        <f t="shared" si="1663"/>
        <v>3.4601226993865</v>
      </c>
      <c r="CB450" s="449">
        <f t="shared" si="1663"/>
        <v>3.47233201581028</v>
      </c>
      <c r="CC450" s="449">
        <f t="shared" si="1663"/>
        <v>3.51067961165049</v>
      </c>
      <c r="CD450" s="449">
        <f t="shared" si="1663"/>
        <v>3.56621880998081</v>
      </c>
      <c r="CE450" s="448">
        <f t="shared" si="1663"/>
        <v>3.56621880998081</v>
      </c>
      <c r="CF450" s="449">
        <f t="shared" si="1663"/>
        <v>3.56022944550669</v>
      </c>
      <c r="CG450" s="449">
        <f t="shared" si="1663"/>
        <v>3.56741573033708</v>
      </c>
      <c r="CH450" s="449">
        <f t="shared" si="1663"/>
        <v>3.6268115942029</v>
      </c>
      <c r="CI450" s="449">
        <f t="shared" si="1663"/>
        <v>3.70209059233449</v>
      </c>
      <c r="CJ450" s="448">
        <f t="shared" si="1663"/>
        <v>3.70209059233449</v>
      </c>
      <c r="CK450" s="449">
        <f t="shared" si="1663"/>
        <v>3.72193436960276</v>
      </c>
      <c r="CL450" s="449">
        <f t="shared" si="1663"/>
        <v>3.76333333333333</v>
      </c>
      <c r="CM450" s="449">
        <f t="shared" si="1663"/>
        <v>3.83627608346709</v>
      </c>
      <c r="CN450" s="449">
        <f t="shared" si="1663"/>
        <v>3.93129770992366</v>
      </c>
      <c r="CO450" s="448">
        <f t="shared" si="1663"/>
        <v>3.93129770992366</v>
      </c>
      <c r="CP450" s="449">
        <f t="shared" si="1663"/>
        <v>3.97583081570997</v>
      </c>
      <c r="CQ450" s="449">
        <f t="shared" si="1663"/>
        <v>4.00446428571429</v>
      </c>
      <c r="CR450" s="449">
        <f t="shared" si="1663"/>
        <v>4.07725947521866</v>
      </c>
      <c r="CS450" s="449">
        <f t="shared" si="1663"/>
        <v>4.17299578059072</v>
      </c>
      <c r="CT450" s="448">
        <f t="shared" si="1663"/>
        <v>4.17299578059072</v>
      </c>
      <c r="CU450" s="449"/>
      <c r="CV450" s="449"/>
      <c r="CW450" s="449"/>
      <c r="CX450" s="449"/>
      <c r="CY450" s="448"/>
      <c r="CZ450" s="449"/>
      <c r="DA450" s="449"/>
      <c r="DB450" s="449"/>
      <c r="DC450" s="449"/>
      <c r="DD450" s="448"/>
      <c r="DE450" s="449"/>
      <c r="DF450" s="449"/>
      <c r="DG450" s="449"/>
      <c r="DH450" s="449"/>
      <c r="DI450" s="448"/>
      <c r="DJ450" s="449"/>
      <c r="DK450" s="449"/>
      <c r="DL450" s="449"/>
      <c r="DM450" s="449"/>
      <c r="DN450" s="448"/>
      <c r="DO450" s="449"/>
      <c r="DP450" s="449"/>
      <c r="DQ450" s="449"/>
      <c r="DR450" s="449"/>
      <c r="DS450" s="448"/>
    </row>
    <row r="451" hidden="1" outlineLevel="1" spans="2:123">
      <c r="B451" s="149" t="s">
        <v>69</v>
      </c>
      <c r="C451" s="252"/>
      <c r="D451" s="253"/>
      <c r="E451" s="253"/>
      <c r="F451" s="253"/>
      <c r="G451" s="253"/>
      <c r="H451" s="423"/>
      <c r="I451" s="261"/>
      <c r="J451" s="261"/>
      <c r="K451" s="261"/>
      <c r="L451" s="261"/>
      <c r="M451" s="254">
        <f t="shared" ref="M451:AR451" si="1664">(M450/H450)-1</f>
        <v>0.0670210243882088</v>
      </c>
      <c r="N451" s="255">
        <f t="shared" si="1664"/>
        <v>0.023127727601578</v>
      </c>
      <c r="O451" s="255">
        <f t="shared" si="1664"/>
        <v>0.0611941362835284</v>
      </c>
      <c r="P451" s="255">
        <f t="shared" si="1664"/>
        <v>-0.024178412693261</v>
      </c>
      <c r="Q451" s="255">
        <f t="shared" si="1664"/>
        <v>-0.0756202163202352</v>
      </c>
      <c r="R451" s="254">
        <f t="shared" si="1664"/>
        <v>-0.0756202163202352</v>
      </c>
      <c r="S451" s="255">
        <f t="shared" si="1664"/>
        <v>-0.0475274544617612</v>
      </c>
      <c r="T451" s="255">
        <f t="shared" si="1664"/>
        <v>-0.00681098204857455</v>
      </c>
      <c r="U451" s="255">
        <f t="shared" si="1664"/>
        <v>0.025675019741656</v>
      </c>
      <c r="V451" s="255">
        <f t="shared" si="1664"/>
        <v>0.0126933991825755</v>
      </c>
      <c r="W451" s="254">
        <f t="shared" si="1664"/>
        <v>0.0126933991825755</v>
      </c>
      <c r="X451" s="255">
        <f t="shared" si="1664"/>
        <v>-0.0230808958709923</v>
      </c>
      <c r="Y451" s="255">
        <f t="shared" si="1664"/>
        <v>-0.0802588910743711</v>
      </c>
      <c r="Z451" s="255">
        <f t="shared" si="1664"/>
        <v>-0.0471305633936649</v>
      </c>
      <c r="AA451" s="255">
        <f t="shared" si="1664"/>
        <v>0.0511473550474</v>
      </c>
      <c r="AB451" s="254">
        <f t="shared" si="1664"/>
        <v>0.0511473550474</v>
      </c>
      <c r="AC451" s="255">
        <f t="shared" si="1664"/>
        <v>0.0716018935741662</v>
      </c>
      <c r="AD451" s="255">
        <f t="shared" si="1664"/>
        <v>0.0435983270316047</v>
      </c>
      <c r="AE451" s="255">
        <f t="shared" si="1664"/>
        <v>0.0509170738616245</v>
      </c>
      <c r="AF451" s="255">
        <f t="shared" si="1664"/>
        <v>0.00556771676025503</v>
      </c>
      <c r="AG451" s="254">
        <f t="shared" si="1664"/>
        <v>0.00556771676025503</v>
      </c>
      <c r="AH451" s="255">
        <f t="shared" si="1664"/>
        <v>-0.0188628762541807</v>
      </c>
      <c r="AI451" s="255">
        <f t="shared" si="1664"/>
        <v>0.0187755102040816</v>
      </c>
      <c r="AJ451" s="255">
        <f t="shared" si="1664"/>
        <v>0.0173160173160176</v>
      </c>
      <c r="AK451" s="255">
        <f t="shared" si="1664"/>
        <v>0.0096195217899071</v>
      </c>
      <c r="AL451" s="254">
        <f t="shared" si="1664"/>
        <v>0.0096195217899071</v>
      </c>
      <c r="AM451" s="255">
        <f t="shared" si="1664"/>
        <v>0.00898100172711569</v>
      </c>
      <c r="AN451" s="255">
        <f t="shared" si="1664"/>
        <v>0.00587606837606858</v>
      </c>
      <c r="AO451" s="255">
        <f t="shared" si="1664"/>
        <v>0.000793902826293769</v>
      </c>
      <c r="AP451" s="255">
        <f t="shared" si="1664"/>
        <v>0.00493121246426309</v>
      </c>
      <c r="AQ451" s="254">
        <f t="shared" si="1664"/>
        <v>0.00493121246426309</v>
      </c>
      <c r="AR451" s="255">
        <f t="shared" si="1664"/>
        <v>0.0191071299573793</v>
      </c>
      <c r="AS451" s="255">
        <f t="shared" ref="AS451:BX451" si="1665">(AS450/AN450)-1</f>
        <v>0.0165970326019014</v>
      </c>
      <c r="AT451" s="255">
        <f t="shared" si="1665"/>
        <v>0.0196917989698369</v>
      </c>
      <c r="AU451" s="255">
        <f t="shared" si="1665"/>
        <v>0.0211368927721243</v>
      </c>
      <c r="AV451" s="254">
        <f t="shared" si="1665"/>
        <v>0.0211368927721243</v>
      </c>
      <c r="AW451" s="255">
        <f t="shared" si="1665"/>
        <v>0.0100120678467688</v>
      </c>
      <c r="AX451" s="255">
        <f t="shared" si="1665"/>
        <v>0.00726016536414087</v>
      </c>
      <c r="AY451" s="255">
        <f t="shared" si="1665"/>
        <v>0.00941677670576668</v>
      </c>
      <c r="AZ451" s="255">
        <f t="shared" si="1665"/>
        <v>0.00927152317880808</v>
      </c>
      <c r="BA451" s="254">
        <f t="shared" si="1665"/>
        <v>0.00927152317880808</v>
      </c>
      <c r="BB451" s="255">
        <f t="shared" si="1665"/>
        <v>0.0142032275167339</v>
      </c>
      <c r="BC451" s="255">
        <f t="shared" si="1665"/>
        <v>0.00574060628063155</v>
      </c>
      <c r="BD451" s="255">
        <f t="shared" si="1665"/>
        <v>-0.00262498667519451</v>
      </c>
      <c r="BE451" s="255">
        <f t="shared" si="1665"/>
        <v>0.00340629886084431</v>
      </c>
      <c r="BF451" s="254">
        <f t="shared" si="1665"/>
        <v>0.00340629886084431</v>
      </c>
      <c r="BG451" s="255">
        <f t="shared" si="1665"/>
        <v>-0.00357941963295838</v>
      </c>
      <c r="BH451" s="255">
        <f t="shared" si="1665"/>
        <v>0.00534936983512568</v>
      </c>
      <c r="BI451" s="255">
        <f t="shared" si="1665"/>
        <v>0.00489325167988408</v>
      </c>
      <c r="BJ451" s="255">
        <f t="shared" si="1665"/>
        <v>-0.00656814449917908</v>
      </c>
      <c r="BK451" s="254">
        <f t="shared" si="1665"/>
        <v>-0.00656814449917908</v>
      </c>
      <c r="BL451" s="255">
        <f t="shared" si="1665"/>
        <v>-0.00211756602117563</v>
      </c>
      <c r="BM451" s="255">
        <f t="shared" si="1665"/>
        <v>-0.00224345411126259</v>
      </c>
      <c r="BN451" s="255">
        <f t="shared" si="1665"/>
        <v>0.044643500829068</v>
      </c>
      <c r="BO451" s="255">
        <f t="shared" si="1665"/>
        <v>0.00663948747815968</v>
      </c>
      <c r="BP451" s="254">
        <f t="shared" si="1665"/>
        <v>0.00663948747815968</v>
      </c>
      <c r="BQ451" s="255">
        <f t="shared" si="1665"/>
        <v>0.0606312292358804</v>
      </c>
      <c r="BR451" s="255">
        <f t="shared" si="1665"/>
        <v>0.0677209646339803</v>
      </c>
      <c r="BS451" s="255">
        <f t="shared" si="1665"/>
        <v>0.0345810883196269</v>
      </c>
      <c r="BT451" s="255">
        <f t="shared" si="1665"/>
        <v>0.0984289200732154</v>
      </c>
      <c r="BU451" s="254">
        <f t="shared" si="1665"/>
        <v>0.0984289200732154</v>
      </c>
      <c r="BV451" s="255">
        <f t="shared" si="1665"/>
        <v>0.0369874448182983</v>
      </c>
      <c r="BW451" s="255">
        <f t="shared" si="1665"/>
        <v>0.0538055991190898</v>
      </c>
      <c r="BX451" s="255">
        <f t="shared" si="1665"/>
        <v>0.0535612412614908</v>
      </c>
      <c r="BY451" s="255">
        <f t="shared" ref="BY451:CR451" si="1666">(BY450/BT450)-1</f>
        <v>0.0557496365147694</v>
      </c>
      <c r="BZ451" s="254">
        <f t="shared" si="1666"/>
        <v>0.0557496365147694</v>
      </c>
      <c r="CA451" s="255">
        <f t="shared" si="1666"/>
        <v>0.0739125704098629</v>
      </c>
      <c r="CB451" s="255">
        <f t="shared" si="1666"/>
        <v>0.0494564568151954</v>
      </c>
      <c r="CC451" s="255">
        <f t="shared" si="1666"/>
        <v>0.0483887368956248</v>
      </c>
      <c r="CD451" s="255">
        <f t="shared" si="1666"/>
        <v>0.0422699022027238</v>
      </c>
      <c r="CE451" s="254">
        <f t="shared" si="1666"/>
        <v>0.0422699022027238</v>
      </c>
      <c r="CF451" s="255">
        <f t="shared" si="1666"/>
        <v>0.0289315596056576</v>
      </c>
      <c r="CG451" s="255">
        <f t="shared" si="1666"/>
        <v>0.0273832439103938</v>
      </c>
      <c r="CH451" s="255">
        <f t="shared" si="1666"/>
        <v>0.0330796299858918</v>
      </c>
      <c r="CI451" s="255">
        <f t="shared" si="1666"/>
        <v>0.0380996763219978</v>
      </c>
      <c r="CJ451" s="254">
        <f t="shared" si="1666"/>
        <v>0.0380996763219978</v>
      </c>
      <c r="CK451" s="255">
        <f t="shared" si="1666"/>
        <v>0.0454198041365439</v>
      </c>
      <c r="CL451" s="255">
        <f t="shared" si="1666"/>
        <v>0.0549186351706037</v>
      </c>
      <c r="CM451" s="255">
        <f t="shared" si="1666"/>
        <v>0.0577544445923259</v>
      </c>
      <c r="CN451" s="255">
        <f t="shared" si="1666"/>
        <v>0.0619128872923216</v>
      </c>
      <c r="CO451" s="254">
        <f t="shared" si="1666"/>
        <v>0.0619128872923216</v>
      </c>
      <c r="CP451" s="255">
        <f t="shared" si="1666"/>
        <v>0.0682162609262518</v>
      </c>
      <c r="CQ451" s="255">
        <f t="shared" si="1666"/>
        <v>0.0640737694546374</v>
      </c>
      <c r="CR451" s="255">
        <f t="shared" si="1666"/>
        <v>0.0628170096490481</v>
      </c>
      <c r="CS451" s="255">
        <f t="shared" ref="CS451:CT451" si="1667">(CS450/CN450)-1</f>
        <v>0.061480480111425</v>
      </c>
      <c r="CT451" s="254">
        <f t="shared" si="1667"/>
        <v>0.061480480111425</v>
      </c>
      <c r="CU451" s="255"/>
      <c r="CV451" s="255"/>
      <c r="CW451" s="255"/>
      <c r="CX451" s="255"/>
      <c r="CY451" s="254"/>
      <c r="CZ451" s="255"/>
      <c r="DA451" s="255"/>
      <c r="DB451" s="255"/>
      <c r="DC451" s="255"/>
      <c r="DD451" s="254"/>
      <c r="DE451" s="255"/>
      <c r="DF451" s="255"/>
      <c r="DG451" s="255"/>
      <c r="DH451" s="255"/>
      <c r="DI451" s="254"/>
      <c r="DJ451" s="255"/>
      <c r="DK451" s="255"/>
      <c r="DL451" s="255"/>
      <c r="DM451" s="255"/>
      <c r="DN451" s="254"/>
      <c r="DO451" s="255"/>
      <c r="DP451" s="255"/>
      <c r="DQ451" s="255"/>
      <c r="DR451" s="255"/>
      <c r="DS451" s="254"/>
    </row>
    <row r="452" hidden="1" outlineLevel="1" spans="2:123">
      <c r="B452" s="245" t="s">
        <v>466</v>
      </c>
      <c r="C452" s="447"/>
      <c r="D452" s="269"/>
      <c r="E452" s="269"/>
      <c r="F452" s="269"/>
      <c r="G452" s="269"/>
      <c r="H452" s="448"/>
      <c r="I452" s="449"/>
      <c r="J452" s="449"/>
      <c r="K452" s="449"/>
      <c r="L452" s="449"/>
      <c r="M452" s="448"/>
      <c r="N452" s="449"/>
      <c r="O452" s="449"/>
      <c r="P452" s="449"/>
      <c r="Q452" s="449"/>
      <c r="R452" s="448"/>
      <c r="S452" s="449"/>
      <c r="T452" s="449"/>
      <c r="U452" s="449"/>
      <c r="V452" s="449"/>
      <c r="W452" s="448"/>
      <c r="X452" s="449"/>
      <c r="Y452" s="449"/>
      <c r="Z452" s="449"/>
      <c r="AA452" s="449"/>
      <c r="AB452" s="448"/>
      <c r="AC452" s="449"/>
      <c r="AD452" s="449"/>
      <c r="AE452" s="449"/>
      <c r="AF452" s="449"/>
      <c r="AG452" s="448"/>
      <c r="AH452" s="449"/>
      <c r="AI452" s="449"/>
      <c r="AJ452" s="449"/>
      <c r="AK452" s="449"/>
      <c r="AL452" s="448"/>
      <c r="AM452" s="449"/>
      <c r="AN452" s="449"/>
      <c r="AO452" s="449"/>
      <c r="AP452" s="449"/>
      <c r="AQ452" s="448"/>
      <c r="AR452" s="449"/>
      <c r="AS452" s="449"/>
      <c r="AT452" s="449"/>
      <c r="AU452" s="449"/>
      <c r="AV452" s="448"/>
      <c r="AW452" s="449"/>
      <c r="AX452" s="449"/>
      <c r="AY452" s="449"/>
      <c r="AZ452" s="449"/>
      <c r="BA452" s="448"/>
      <c r="BB452" s="449">
        <f>(BB446-BA446)/(BB396-BA396)*1000</f>
        <v>3.07142857142857</v>
      </c>
      <c r="BC452" s="449">
        <f>(BC446-BB446)/(BC396-BB396)*1000</f>
        <v>2.7</v>
      </c>
      <c r="BD452" s="449">
        <f>(BD446-BC446)/(BD396-BC396)*1000</f>
        <v>2.83333333333334</v>
      </c>
      <c r="BE452" s="449">
        <f>(BE446-BD446)/(BE396-BD396)*1000</f>
        <v>3.88888888888888</v>
      </c>
      <c r="BF452" s="448"/>
      <c r="BG452" s="449">
        <f>(BG446-BF446)/(BG396-BF396)*1000</f>
        <v>2.4</v>
      </c>
      <c r="BH452" s="449">
        <f>(BH446-BG446)/(BH396-BG396)*1000</f>
        <v>3.66666666666667</v>
      </c>
      <c r="BI452" s="449">
        <f>(BI446-BH446)/(BI396-BH396)*1000</f>
        <v>2.69999999999999</v>
      </c>
      <c r="BJ452" s="449">
        <f>(BJ446-BI446)/(BJ396-BI396)*1000</f>
        <v>2.70588235294118</v>
      </c>
      <c r="BK452" s="448"/>
      <c r="BL452" s="449">
        <f>(BL446-BK446)/(BL396-BK396)*1000</f>
        <v>2.8</v>
      </c>
      <c r="BM452" s="449">
        <f>(BM446-BL446)/(BM396-BL396)*1000</f>
        <v>3.4</v>
      </c>
      <c r="BN452" s="449">
        <f>(BN446-BM446)/(BN396-BM396)*1000</f>
        <v>1.3939393939394</v>
      </c>
      <c r="BO452" s="449">
        <f>(BO446-BN446)/(BO396-BN396)*1000</f>
        <v>0</v>
      </c>
      <c r="BP452" s="448"/>
      <c r="BQ452" s="449">
        <f>(BQ446-BP446)/(BQ396-BP396)*1000</f>
        <v>12.1428571428571</v>
      </c>
      <c r="BR452" s="449">
        <f>(BR446-BQ446)/(BR396-BQ396)*1000</f>
        <v>6.50000000000001</v>
      </c>
      <c r="BS452" s="449">
        <f>(BS446-BR446)/(BS396-BR396)*1000</f>
        <v>4.63636363636365</v>
      </c>
      <c r="BT452" s="449">
        <f>(BT446-BS446)/(BT396-BS396)*1000</f>
        <v>5.14285714285713</v>
      </c>
      <c r="BU452" s="448"/>
      <c r="BV452" s="450"/>
      <c r="BW452" s="450"/>
      <c r="BX452" s="450"/>
      <c r="BY452" s="451"/>
      <c r="BZ452" s="452"/>
      <c r="CA452" s="451"/>
      <c r="CB452" s="450"/>
      <c r="CC452" s="450"/>
      <c r="CD452" s="450"/>
      <c r="CE452" s="452"/>
      <c r="CF452" s="450"/>
      <c r="CG452" s="450"/>
      <c r="CH452" s="450"/>
      <c r="CI452" s="450"/>
      <c r="CJ452" s="452"/>
      <c r="CK452" s="450"/>
      <c r="CL452" s="450"/>
      <c r="CM452" s="450"/>
      <c r="CN452" s="450"/>
      <c r="CO452" s="452"/>
      <c r="CP452" s="450"/>
      <c r="CQ452" s="453">
        <v>5.25</v>
      </c>
      <c r="CR452" s="453">
        <v>5.25</v>
      </c>
      <c r="CS452" s="453">
        <v>6</v>
      </c>
      <c r="CT452" s="452"/>
      <c r="CU452" s="453"/>
      <c r="CV452" s="453"/>
      <c r="CW452" s="453"/>
      <c r="CX452" s="453"/>
      <c r="CY452" s="452"/>
      <c r="CZ452" s="453"/>
      <c r="DA452" s="453"/>
      <c r="DB452" s="450"/>
      <c r="DC452" s="450"/>
      <c r="DD452" s="452"/>
      <c r="DE452" s="450"/>
      <c r="DF452" s="450"/>
      <c r="DG452" s="450"/>
      <c r="DH452" s="450"/>
      <c r="DI452" s="452"/>
      <c r="DJ452" s="450"/>
      <c r="DK452" s="450"/>
      <c r="DL452" s="450"/>
      <c r="DM452" s="450"/>
      <c r="DN452" s="452"/>
      <c r="DO452" s="450"/>
      <c r="DP452" s="450"/>
      <c r="DQ452" s="450"/>
      <c r="DR452" s="450"/>
      <c r="DS452" s="452"/>
    </row>
    <row r="453" hidden="1" outlineLevel="1" spans="2:123">
      <c r="B453" s="245" t="s">
        <v>467</v>
      </c>
      <c r="C453" s="267"/>
      <c r="D453" s="266">
        <f>-D97/D448*4</f>
        <v>67.7147516088478</v>
      </c>
      <c r="E453" s="266">
        <f>-E97/E448*4</f>
        <v>67.7147516088477</v>
      </c>
      <c r="F453" s="266">
        <f>-F97/F448*4</f>
        <v>67.7147516088477</v>
      </c>
      <c r="G453" s="266">
        <f>-G97/G448*4</f>
        <v>67.7147516088477</v>
      </c>
      <c r="H453" s="267">
        <f>-H97/H448</f>
        <v>62.1526762211173</v>
      </c>
      <c r="I453" s="266">
        <f>-I97/I448*4</f>
        <v>98.916886967297</v>
      </c>
      <c r="J453" s="266">
        <f>-J97/J448*4</f>
        <v>98.9168869672969</v>
      </c>
      <c r="K453" s="266">
        <f>-K97/K448*4</f>
        <v>98.9168869672969</v>
      </c>
      <c r="L453" s="266">
        <f>-L97/L448*4</f>
        <v>98.9168869672969</v>
      </c>
      <c r="M453" s="267">
        <f>-M97/M448</f>
        <v>93.3221414388347</v>
      </c>
      <c r="N453" s="266">
        <f>-N97/N448*4</f>
        <v>125.956552569668</v>
      </c>
      <c r="O453" s="266">
        <f>-O97/O448*4</f>
        <v>125.956552569668</v>
      </c>
      <c r="P453" s="266">
        <f>-P97/P448*4</f>
        <v>125.956552569668</v>
      </c>
      <c r="Q453" s="266">
        <f>-Q97/Q448*4</f>
        <v>125.956552569668</v>
      </c>
      <c r="R453" s="267">
        <f>-R97/R448</f>
        <v>119.052986313383</v>
      </c>
      <c r="S453" s="266">
        <f>-S97/S448*4</f>
        <v>139.551189015608</v>
      </c>
      <c r="T453" s="266">
        <f>-T97/T448*4</f>
        <v>139.551189015608</v>
      </c>
      <c r="U453" s="266">
        <f>-U97/U448*4</f>
        <v>139.551189015608</v>
      </c>
      <c r="V453" s="266">
        <f>-V97/V448*4</f>
        <v>139.551189015608</v>
      </c>
      <c r="W453" s="267">
        <f>-W97/W448</f>
        <v>133.328083336731</v>
      </c>
      <c r="X453" s="266">
        <f>-X97/X448*4</f>
        <v>147.620693628298</v>
      </c>
      <c r="Y453" s="266">
        <f>-Y97/Y448*4</f>
        <v>147.620693628298</v>
      </c>
      <c r="Z453" s="266">
        <f>-Z97/Z448*4</f>
        <v>147.620693628298</v>
      </c>
      <c r="AA453" s="266">
        <f>-AA97/AA448*4</f>
        <v>147.620693628298</v>
      </c>
      <c r="AB453" s="267">
        <f>-AB97/AB448</f>
        <v>144.92456015175</v>
      </c>
      <c r="AC453" s="266">
        <f>-AC97/AC448*4</f>
        <v>153.384393063584</v>
      </c>
      <c r="AD453" s="266">
        <f>-AD97/AD448*4</f>
        <v>153.384393063584</v>
      </c>
      <c r="AE453" s="266">
        <f>-AE97/AE448*4</f>
        <v>153.384393063584</v>
      </c>
      <c r="AF453" s="266">
        <f>-AF97/AF448*4</f>
        <v>153.384393063584</v>
      </c>
      <c r="AG453" s="267">
        <f>-AG97/AG448</f>
        <v>150.236376503892</v>
      </c>
      <c r="AH453" s="266">
        <f>-AH97/AH448*4</f>
        <v>157.36694021102</v>
      </c>
      <c r="AI453" s="266">
        <f>-AI97/AI448*4</f>
        <v>157.36694021102</v>
      </c>
      <c r="AJ453" s="266">
        <f>-AJ97/AJ448*4</f>
        <v>157.36694021102</v>
      </c>
      <c r="AK453" s="266">
        <f>-AK97/AK448*4</f>
        <v>157.36694021102</v>
      </c>
      <c r="AL453" s="267">
        <f>-AL97/AL448</f>
        <v>152.020385050963</v>
      </c>
      <c r="AM453" s="266">
        <f>-AM97/AM448*4</f>
        <v>152.151361329026</v>
      </c>
      <c r="AN453" s="266">
        <f>-AN97/AN448*4</f>
        <v>152.151361329026</v>
      </c>
      <c r="AO453" s="266">
        <f>-AO97/AO448*4</f>
        <v>152.151361329026</v>
      </c>
      <c r="AP453" s="266">
        <f>-AP97/AP448*4</f>
        <v>152.151361329026</v>
      </c>
      <c r="AQ453" s="267">
        <f>-AQ97/AQ448</f>
        <v>148.452048626745</v>
      </c>
      <c r="AR453" s="266">
        <f>-AR97/AR448*4</f>
        <v>124.895880149813</v>
      </c>
      <c r="AS453" s="266">
        <f>-AS97/AS448*4</f>
        <v>124.895880149813</v>
      </c>
      <c r="AT453" s="266">
        <f>-AT97/AT448*4</f>
        <v>124.895880149813</v>
      </c>
      <c r="AU453" s="266">
        <f>-AU97/AU448*4</f>
        <v>124.895880149813</v>
      </c>
      <c r="AV453" s="267">
        <f>-AV97/AV448</f>
        <v>121.749543629062</v>
      </c>
      <c r="AW453" s="266">
        <f>-AW97/AW448*4</f>
        <v>124.530345471522</v>
      </c>
      <c r="AX453" s="266">
        <f>-AX97/AX448*4</f>
        <v>124.530345471522</v>
      </c>
      <c r="AY453" s="266">
        <f>-AY97/AY448*4</f>
        <v>124.530345471522</v>
      </c>
      <c r="AZ453" s="266">
        <f>-AZ97/AZ448*4</f>
        <v>124.530345471522</v>
      </c>
      <c r="BA453" s="267">
        <f>-BA97/BA448</f>
        <v>121.726802555522</v>
      </c>
      <c r="BB453" s="266">
        <f>-BB97/BB448*4</f>
        <v>126.649879180974</v>
      </c>
      <c r="BC453" s="266">
        <f>-BC97/BC448*4</f>
        <v>126.649879180974</v>
      </c>
      <c r="BD453" s="266">
        <f>-BD97/BD448*4</f>
        <v>126.649879180974</v>
      </c>
      <c r="BE453" s="266">
        <f>-BE97/BE448*4</f>
        <v>126.649879180974</v>
      </c>
      <c r="BF453" s="267">
        <f>-BF97/BF448</f>
        <v>123.769326373353</v>
      </c>
      <c r="BG453" s="266">
        <f>-BG97/BG448*4</f>
        <v>131.416471637134</v>
      </c>
      <c r="BH453" s="266">
        <f>-BH97/BH448*4</f>
        <v>131.416471637134</v>
      </c>
      <c r="BI453" s="266">
        <f>-BI97/BI448*4</f>
        <v>131.416471637134</v>
      </c>
      <c r="BJ453" s="266">
        <f>-BJ97/BJ448*4</f>
        <v>131.416471637134</v>
      </c>
      <c r="BK453" s="267">
        <f>-BK97/BK448</f>
        <v>129.696436427629</v>
      </c>
      <c r="BL453" s="266">
        <f>-BL97/BL448*4</f>
        <v>138.694300518135</v>
      </c>
      <c r="BM453" s="266">
        <f>-BM97/BM448*4</f>
        <v>138.694300518135</v>
      </c>
      <c r="BN453" s="266">
        <f>-BN97/BN448*4</f>
        <v>138.694300518135</v>
      </c>
      <c r="BO453" s="266">
        <f>-BO97/BO448*4</f>
        <v>138.694300518135</v>
      </c>
      <c r="BP453" s="267">
        <f>-BP97/BP448</f>
        <v>138.665561541649</v>
      </c>
      <c r="BQ453" s="266">
        <f>-BQ97/BQ448*4</f>
        <v>151.058554262827</v>
      </c>
      <c r="BR453" s="266">
        <f>-BR97/BR448*4</f>
        <v>151.058554262827</v>
      </c>
      <c r="BS453" s="266">
        <f>-BS97/BS448*4</f>
        <v>151.058554262827</v>
      </c>
      <c r="BT453" s="266">
        <f>-BT97/BT448*4</f>
        <v>151.058554262827</v>
      </c>
      <c r="BU453" s="267">
        <f>-BU97/BU448</f>
        <v>147.761194029851</v>
      </c>
      <c r="BV453" s="266">
        <f>-BV97/BV448*4</f>
        <v>166.912863070539</v>
      </c>
      <c r="BW453" s="266">
        <f>-BW97/BW448*4</f>
        <v>169.58500669344</v>
      </c>
      <c r="BX453" s="266">
        <f>-BX97/BX448*4</f>
        <v>166.728087012156</v>
      </c>
      <c r="BY453" s="266">
        <f>-BY97/BY448*4</f>
        <v>165.295980511571</v>
      </c>
      <c r="BZ453" s="267">
        <f>-BZ97/BZ448</f>
        <v>163.700255102041</v>
      </c>
      <c r="CA453" s="266">
        <f>-CA97/CA448*4</f>
        <v>153.508468432846</v>
      </c>
      <c r="CB453" s="266">
        <f>-CB97/CB448*4</f>
        <v>152.378507457878</v>
      </c>
      <c r="CC453" s="266">
        <f>-CC97/CC448*4</f>
        <v>151.272518310737</v>
      </c>
      <c r="CD453" s="266">
        <f>-CD97/CD448*4</f>
        <v>149.266078680972</v>
      </c>
      <c r="CE453" s="267">
        <f>-CE97/CE448</f>
        <v>149.661278988053</v>
      </c>
      <c r="CF453" s="266">
        <f>-CF97/CF448*4</f>
        <v>165.936315565096</v>
      </c>
      <c r="CG453" s="266">
        <f>-CG97/CG448*4</f>
        <v>165.906442582789</v>
      </c>
      <c r="CH453" s="266">
        <f>-CH97/CH448*4</f>
        <v>164.350223142503</v>
      </c>
      <c r="CI453" s="266">
        <f>-CI97/CI448*4</f>
        <v>161.31984857541</v>
      </c>
      <c r="CJ453" s="267">
        <f>-CJ97/CJ448</f>
        <v>161.523688877629</v>
      </c>
      <c r="CK453" s="266">
        <f>-CK97/CK448*4</f>
        <v>168.111636703273</v>
      </c>
      <c r="CL453" s="266">
        <f>-CL97/CL448*4</f>
        <v>166.721694536331</v>
      </c>
      <c r="CM453" s="266">
        <f>-CM97/CM448*4</f>
        <v>164.199781835509</v>
      </c>
      <c r="CN453" s="266">
        <f>-CN97/CN448*4</f>
        <v>160.628956888161</v>
      </c>
      <c r="CO453" s="267">
        <f>-CO97/CO448</f>
        <v>160.801023672425</v>
      </c>
      <c r="CP453" s="266">
        <f>-CP97/CP448*4</f>
        <v>168.794335807236</v>
      </c>
      <c r="CQ453" s="266">
        <f>-CQ97/CQ448*4</f>
        <v>167.247269108871</v>
      </c>
      <c r="CR453" s="266">
        <f>-CR97/CR448*4</f>
        <v>165.137360604619</v>
      </c>
      <c r="CS453" s="266">
        <f>-CS97/CS448*4</f>
        <v>161.745462350286</v>
      </c>
      <c r="CT453" s="267">
        <f>-CT97/CT448</f>
        <v>162.701542346893</v>
      </c>
      <c r="CU453" s="266"/>
      <c r="CV453" s="266"/>
      <c r="CW453" s="266"/>
      <c r="CX453" s="266"/>
      <c r="CY453" s="267"/>
      <c r="CZ453" s="266"/>
      <c r="DA453" s="266"/>
      <c r="DB453" s="266"/>
      <c r="DC453" s="266"/>
      <c r="DD453" s="267"/>
      <c r="DE453" s="266"/>
      <c r="DF453" s="266"/>
      <c r="DG453" s="266"/>
      <c r="DH453" s="266"/>
      <c r="DI453" s="267"/>
      <c r="DJ453" s="266"/>
      <c r="DK453" s="266"/>
      <c r="DL453" s="266"/>
      <c r="DM453" s="266"/>
      <c r="DN453" s="267"/>
      <c r="DO453" s="266"/>
      <c r="DP453" s="266"/>
      <c r="DQ453" s="266"/>
      <c r="DR453" s="266"/>
      <c r="DS453" s="267"/>
    </row>
    <row r="454" hidden="1" outlineLevel="1" spans="2:123">
      <c r="B454" s="432"/>
      <c r="C454" s="246"/>
      <c r="D454" s="247"/>
      <c r="E454" s="247"/>
      <c r="F454" s="247"/>
      <c r="G454" s="247"/>
      <c r="H454" s="246"/>
      <c r="I454" s="247"/>
      <c r="J454" s="247"/>
      <c r="K454" s="247"/>
      <c r="L454" s="247"/>
      <c r="M454" s="246"/>
      <c r="N454" s="247"/>
      <c r="O454" s="247"/>
      <c r="P454" s="247"/>
      <c r="Q454" s="247"/>
      <c r="R454" s="246"/>
      <c r="S454" s="247"/>
      <c r="T454" s="247"/>
      <c r="U454" s="247"/>
      <c r="V454" s="247"/>
      <c r="W454" s="246"/>
      <c r="X454" s="247"/>
      <c r="Y454" s="247"/>
      <c r="Z454" s="247"/>
      <c r="AA454" s="247"/>
      <c r="AB454" s="246"/>
      <c r="AC454" s="247"/>
      <c r="AD454" s="247"/>
      <c r="AE454" s="247"/>
      <c r="AF454" s="247"/>
      <c r="AG454" s="246"/>
      <c r="AH454" s="247"/>
      <c r="AI454" s="247"/>
      <c r="AJ454" s="247"/>
      <c r="AK454" s="247"/>
      <c r="AL454" s="246"/>
      <c r="AM454" s="247"/>
      <c r="AN454" s="247"/>
      <c r="AO454" s="247"/>
      <c r="AP454" s="247"/>
      <c r="AQ454" s="246"/>
      <c r="AR454" s="247"/>
      <c r="AS454" s="247"/>
      <c r="AT454" s="247"/>
      <c r="AU454" s="247"/>
      <c r="AV454" s="246"/>
      <c r="AW454" s="247"/>
      <c r="AX454" s="247"/>
      <c r="AY454" s="247"/>
      <c r="AZ454" s="247"/>
      <c r="BA454" s="246"/>
      <c r="BB454" s="247"/>
      <c r="BC454" s="247"/>
      <c r="BD454" s="247"/>
      <c r="BE454" s="247"/>
      <c r="BF454" s="246"/>
      <c r="BG454" s="247"/>
      <c r="BH454" s="247"/>
      <c r="BI454" s="247"/>
      <c r="BJ454" s="247"/>
      <c r="BK454" s="246"/>
      <c r="BL454" s="247"/>
      <c r="BM454" s="247"/>
      <c r="BN454" s="247"/>
      <c r="BO454" s="247"/>
      <c r="BP454" s="246"/>
      <c r="BQ454" s="247"/>
      <c r="BR454" s="247"/>
      <c r="BS454" s="247"/>
      <c r="BT454" s="247"/>
      <c r="BU454" s="246"/>
      <c r="BV454" s="247"/>
      <c r="BW454" s="247"/>
      <c r="BX454" s="247"/>
      <c r="BY454" s="247"/>
      <c r="BZ454" s="246"/>
      <c r="CA454" s="247"/>
      <c r="CB454" s="247"/>
      <c r="CC454" s="247"/>
      <c r="CD454" s="247"/>
      <c r="CE454" s="246"/>
      <c r="CF454" s="247"/>
      <c r="CG454" s="247"/>
      <c r="CH454" s="247"/>
      <c r="CI454" s="247"/>
      <c r="CJ454" s="246"/>
      <c r="CK454" s="247"/>
      <c r="CL454" s="247"/>
      <c r="CM454" s="247"/>
      <c r="CN454" s="247"/>
      <c r="CO454" s="246"/>
      <c r="CP454" s="247"/>
      <c r="CQ454" s="247"/>
      <c r="CR454" s="247"/>
      <c r="CS454" s="247"/>
      <c r="CT454" s="246"/>
      <c r="CU454" s="247"/>
      <c r="CV454" s="247"/>
      <c r="CW454" s="247"/>
      <c r="CX454" s="247"/>
      <c r="CY454" s="246"/>
      <c r="CZ454" s="247"/>
      <c r="DA454" s="247"/>
      <c r="DB454" s="247"/>
      <c r="DC454" s="247"/>
      <c r="DD454" s="246"/>
      <c r="DE454" s="247"/>
      <c r="DF454" s="247"/>
      <c r="DG454" s="247"/>
      <c r="DH454" s="247"/>
      <c r="DI454" s="246"/>
      <c r="DJ454" s="247"/>
      <c r="DK454" s="247"/>
      <c r="DL454" s="247"/>
      <c r="DM454" s="247"/>
      <c r="DN454" s="246"/>
      <c r="DO454" s="247"/>
      <c r="DP454" s="247"/>
      <c r="DQ454" s="247"/>
      <c r="DR454" s="247"/>
      <c r="DS454" s="246"/>
    </row>
    <row r="455" hidden="1" outlineLevel="1" spans="2:123">
      <c r="B455" s="454" t="s">
        <v>60</v>
      </c>
      <c r="C455" s="267"/>
      <c r="D455" s="266"/>
      <c r="E455" s="266"/>
      <c r="F455" s="266"/>
      <c r="G455" s="266"/>
      <c r="H455" s="267"/>
      <c r="I455" s="266"/>
      <c r="J455" s="266"/>
      <c r="K455" s="266"/>
      <c r="L455" s="266"/>
      <c r="M455" s="267"/>
      <c r="N455" s="382">
        <v>11.891</v>
      </c>
      <c r="O455" s="382">
        <v>16.943</v>
      </c>
      <c r="P455" s="382">
        <v>19.278</v>
      </c>
      <c r="Q455" s="382">
        <v>31.688</v>
      </c>
      <c r="R455" s="397">
        <f>SUM(N455:Q455)</f>
        <v>79.8</v>
      </c>
      <c r="S455" s="382">
        <v>23.217</v>
      </c>
      <c r="T455" s="382">
        <v>23.758</v>
      </c>
      <c r="U455" s="382">
        <v>21.401</v>
      </c>
      <c r="V455" s="382">
        <v>26.524</v>
      </c>
      <c r="W455" s="397">
        <f>SUM(S455:V455)</f>
        <v>94.9</v>
      </c>
      <c r="X455" s="382">
        <v>21.687</v>
      </c>
      <c r="Y455" s="382">
        <v>23.548</v>
      </c>
      <c r="Z455" s="382">
        <v>30.76</v>
      </c>
      <c r="AA455" s="382">
        <v>45.619</v>
      </c>
      <c r="AB455" s="397">
        <f>SUM(X455:AA455)</f>
        <v>121.614</v>
      </c>
      <c r="AC455" s="382">
        <v>45.955</v>
      </c>
      <c r="AD455" s="382">
        <v>44.353</v>
      </c>
      <c r="AE455" s="382">
        <v>50.787</v>
      </c>
      <c r="AF455" s="382">
        <v>74.059</v>
      </c>
      <c r="AG455" s="397">
        <f>SUM(AC455:AF455)</f>
        <v>215.154</v>
      </c>
      <c r="AH455" s="382">
        <v>59.137</v>
      </c>
      <c r="AI455" s="382">
        <v>64.073</v>
      </c>
      <c r="AJ455" s="382">
        <v>66.331</v>
      </c>
      <c r="AK455" s="382">
        <v>109.433</v>
      </c>
      <c r="AL455" s="397">
        <f>SUM(AH455:AK455)</f>
        <v>298.974</v>
      </c>
      <c r="AM455" s="382">
        <v>77.252</v>
      </c>
      <c r="AN455" s="382">
        <v>77.04</v>
      </c>
      <c r="AO455" s="382">
        <v>84.699</v>
      </c>
      <c r="AP455" s="455">
        <v>140.679</v>
      </c>
      <c r="AQ455" s="397">
        <f>SUM(AM455:AP455)</f>
        <v>379.67</v>
      </c>
      <c r="AR455" s="455">
        <v>69.559</v>
      </c>
      <c r="AS455" s="455">
        <v>83.53</v>
      </c>
      <c r="AT455" s="455">
        <v>89.676</v>
      </c>
      <c r="AU455" s="455">
        <v>129.866</v>
      </c>
      <c r="AV455" s="397">
        <f>SUM(AR455:AU455)</f>
        <v>372.631</v>
      </c>
      <c r="AW455" s="455">
        <v>75.697</v>
      </c>
      <c r="AX455" s="455">
        <v>74.891</v>
      </c>
      <c r="AY455" s="382">
        <v>73.99</v>
      </c>
      <c r="AZ455" s="455">
        <v>132.011</v>
      </c>
      <c r="BA455" s="397">
        <f>SUM(AW455:AZ455)</f>
        <v>356.589</v>
      </c>
      <c r="BB455" s="455">
        <v>69.223</v>
      </c>
      <c r="BC455" s="455">
        <v>67.441</v>
      </c>
      <c r="BD455" s="455">
        <v>70.729</v>
      </c>
      <c r="BE455" s="455">
        <v>139.409</v>
      </c>
      <c r="BF455" s="397">
        <f>SUM(BB455:BE455)</f>
        <v>346.802</v>
      </c>
      <c r="BG455" s="455">
        <v>73.259</v>
      </c>
      <c r="BH455" s="455">
        <v>80.277</v>
      </c>
      <c r="BI455" s="455">
        <v>91.497</v>
      </c>
      <c r="BJ455" s="455">
        <v>170.602</v>
      </c>
      <c r="BK455" s="397">
        <f>SUM(BG455:BJ455)</f>
        <v>415.635</v>
      </c>
      <c r="BL455" s="455">
        <v>77.499</v>
      </c>
      <c r="BM455" s="382">
        <v>92.609</v>
      </c>
      <c r="BN455" s="455">
        <v>97.015</v>
      </c>
      <c r="BO455" s="455">
        <f>464.321-BN455-BM455-BL455</f>
        <v>197.198</v>
      </c>
      <c r="BP455" s="397">
        <f>SUM(BL455:BO455)</f>
        <v>464.321</v>
      </c>
      <c r="BQ455" s="382">
        <v>99.287</v>
      </c>
      <c r="BR455" s="382">
        <v>125.868</v>
      </c>
      <c r="BS455" s="382">
        <v>117.804</v>
      </c>
      <c r="BT455" s="382">
        <f>575.536-SUM(BQ455:BS455)</f>
        <v>232.577</v>
      </c>
      <c r="BU455" s="397">
        <f>SUM(BQ455:BT455)</f>
        <v>575.536</v>
      </c>
      <c r="BV455" s="382">
        <v>120.907</v>
      </c>
      <c r="BW455" s="382">
        <v>154.332</v>
      </c>
      <c r="BX455" s="382">
        <v>147.734</v>
      </c>
      <c r="BY455" s="382">
        <f>689.339-SUM(BV455:BX455)</f>
        <v>266.366</v>
      </c>
      <c r="BZ455" s="397">
        <f>SUM(BV455:BY455)</f>
        <v>689.339</v>
      </c>
      <c r="CA455" s="382">
        <v>-30.154</v>
      </c>
      <c r="CB455" s="382">
        <v>-5.293</v>
      </c>
      <c r="CC455" s="382">
        <v>111.78</v>
      </c>
      <c r="CD455" s="382">
        <f>212.592-CC455-CB455-CA455</f>
        <v>136.259</v>
      </c>
      <c r="CE455" s="397">
        <f>SUM(CA455:CD455)</f>
        <v>212.592</v>
      </c>
      <c r="CF455" s="382">
        <v>99.148</v>
      </c>
      <c r="CG455" s="382">
        <v>184.996</v>
      </c>
      <c r="CH455" s="382">
        <v>180.7</v>
      </c>
      <c r="CI455" s="382">
        <f>727.735-CF455-CG455-CH455</f>
        <v>262.891</v>
      </c>
      <c r="CJ455" s="397">
        <f>SUM(CF455:CI455)</f>
        <v>727.735</v>
      </c>
      <c r="CK455" s="382">
        <v>160.706</v>
      </c>
      <c r="CL455" s="382">
        <v>256.807</v>
      </c>
      <c r="CM455" s="382">
        <v>242.733</v>
      </c>
      <c r="CN455" s="382">
        <f>991.067-CM455-CL455-CK455</f>
        <v>330.821</v>
      </c>
      <c r="CO455" s="264">
        <f>SUM(CK455:CN455)</f>
        <v>991.067</v>
      </c>
      <c r="CP455" s="382">
        <v>259.819</v>
      </c>
      <c r="CQ455" s="382">
        <v>339.692</v>
      </c>
      <c r="CR455" s="382">
        <v>310.51</v>
      </c>
      <c r="CS455" s="403">
        <v>400</v>
      </c>
      <c r="CT455" s="404">
        <f>SUM(CP455:CS455)</f>
        <v>1310.021</v>
      </c>
      <c r="CU455" s="382"/>
      <c r="CV455" s="382"/>
      <c r="CW455" s="382"/>
      <c r="CX455" s="382"/>
      <c r="CY455" s="397"/>
      <c r="CZ455" s="382"/>
      <c r="DA455" s="382"/>
      <c r="DB455" s="382"/>
      <c r="DC455" s="382"/>
      <c r="DD455" s="397"/>
      <c r="DE455" s="382"/>
      <c r="DF455" s="382"/>
      <c r="DG455" s="382"/>
      <c r="DH455" s="382"/>
      <c r="DI455" s="397"/>
      <c r="DJ455" s="382"/>
      <c r="DK455" s="382"/>
      <c r="DL455" s="382"/>
      <c r="DM455" s="382"/>
      <c r="DN455" s="397"/>
      <c r="DO455" s="382"/>
      <c r="DP455" s="382"/>
      <c r="DQ455" s="382"/>
      <c r="DR455" s="382"/>
      <c r="DS455" s="397"/>
    </row>
    <row r="456" hidden="1" outlineLevel="1" spans="2:123">
      <c r="B456" s="149" t="s">
        <v>69</v>
      </c>
      <c r="C456" s="252"/>
      <c r="D456" s="253"/>
      <c r="E456" s="253"/>
      <c r="F456" s="253"/>
      <c r="G456" s="253"/>
      <c r="H456" s="254"/>
      <c r="I456" s="255"/>
      <c r="J456" s="255"/>
      <c r="K456" s="255"/>
      <c r="L456" s="255"/>
      <c r="M456" s="254"/>
      <c r="N456" s="255"/>
      <c r="O456" s="255"/>
      <c r="P456" s="255"/>
      <c r="Q456" s="255"/>
      <c r="R456" s="254"/>
      <c r="S456" s="255">
        <f t="shared" ref="S456:AX456" si="1668">(S455/N455)-1</f>
        <v>0.952485072744092</v>
      </c>
      <c r="T456" s="255">
        <f t="shared" si="1668"/>
        <v>0.402231009856578</v>
      </c>
      <c r="U456" s="255">
        <f t="shared" si="1668"/>
        <v>0.110125531694159</v>
      </c>
      <c r="V456" s="255">
        <f t="shared" si="1668"/>
        <v>-0.162963898005554</v>
      </c>
      <c r="W456" s="254">
        <f t="shared" si="1668"/>
        <v>0.18922305764411</v>
      </c>
      <c r="X456" s="255">
        <f t="shared" si="1668"/>
        <v>-0.0658999870784338</v>
      </c>
      <c r="Y456" s="255">
        <f t="shared" si="1668"/>
        <v>-0.00883912787271657</v>
      </c>
      <c r="Z456" s="255">
        <f t="shared" si="1668"/>
        <v>0.437316013270408</v>
      </c>
      <c r="AA456" s="255">
        <f t="shared" si="1668"/>
        <v>0.719914040114612</v>
      </c>
      <c r="AB456" s="254">
        <f t="shared" si="1668"/>
        <v>0.281496311907271</v>
      </c>
      <c r="AC456" s="255">
        <f t="shared" si="1668"/>
        <v>1.11901138931157</v>
      </c>
      <c r="AD456" s="255">
        <f t="shared" si="1668"/>
        <v>0.883514523526414</v>
      </c>
      <c r="AE456" s="255">
        <f t="shared" si="1668"/>
        <v>0.651072821846554</v>
      </c>
      <c r="AF456" s="255">
        <f t="shared" si="1668"/>
        <v>0.623424450338675</v>
      </c>
      <c r="AG456" s="254">
        <f t="shared" si="1668"/>
        <v>0.769154867038334</v>
      </c>
      <c r="AH456" s="255">
        <f t="shared" si="1668"/>
        <v>0.286845827439887</v>
      </c>
      <c r="AI456" s="255">
        <f t="shared" si="1668"/>
        <v>0.44461479494059</v>
      </c>
      <c r="AJ456" s="255">
        <f t="shared" si="1668"/>
        <v>0.306062575068423</v>
      </c>
      <c r="AK456" s="255">
        <f t="shared" si="1668"/>
        <v>0.477646201001904</v>
      </c>
      <c r="AL456" s="254">
        <f t="shared" si="1668"/>
        <v>0.389581416101955</v>
      </c>
      <c r="AM456" s="255">
        <f t="shared" si="1668"/>
        <v>0.306322606828212</v>
      </c>
      <c r="AN456" s="255">
        <f t="shared" si="1668"/>
        <v>0.202378536981256</v>
      </c>
      <c r="AO456" s="255">
        <f t="shared" si="1668"/>
        <v>0.276914263315795</v>
      </c>
      <c r="AP456" s="255">
        <f t="shared" si="1668"/>
        <v>0.285526303765775</v>
      </c>
      <c r="AQ456" s="254">
        <f t="shared" si="1668"/>
        <v>0.269909758039161</v>
      </c>
      <c r="AR456" s="255">
        <f t="shared" si="1668"/>
        <v>-0.099583182312432</v>
      </c>
      <c r="AS456" s="255">
        <f t="shared" si="1668"/>
        <v>0.0842419522326063</v>
      </c>
      <c r="AT456" s="255">
        <f t="shared" si="1668"/>
        <v>0.0587610243332271</v>
      </c>
      <c r="AU456" s="255">
        <f t="shared" si="1668"/>
        <v>-0.0768629290796782</v>
      </c>
      <c r="AV456" s="254">
        <f t="shared" si="1668"/>
        <v>-0.0185397845497407</v>
      </c>
      <c r="AW456" s="255">
        <f t="shared" si="1668"/>
        <v>0.0882416365962708</v>
      </c>
      <c r="AX456" s="255">
        <f t="shared" si="1668"/>
        <v>-0.103423919549862</v>
      </c>
      <c r="AY456" s="255">
        <f t="shared" ref="AY456:CM456" si="1669">(AY455/AT455)-1</f>
        <v>-0.174918595833891</v>
      </c>
      <c r="AZ456" s="255">
        <f t="shared" si="1669"/>
        <v>0.0165170252414026</v>
      </c>
      <c r="BA456" s="254">
        <f t="shared" si="1669"/>
        <v>-0.0430506318583262</v>
      </c>
      <c r="BB456" s="255">
        <f t="shared" si="1669"/>
        <v>-0.0855251859386766</v>
      </c>
      <c r="BC456" s="255">
        <f t="shared" si="1669"/>
        <v>-0.0994779078928042</v>
      </c>
      <c r="BD456" s="255">
        <f t="shared" si="1669"/>
        <v>-0.0440735234491146</v>
      </c>
      <c r="BE456" s="255">
        <f t="shared" si="1669"/>
        <v>0.0560407844800819</v>
      </c>
      <c r="BF456" s="254">
        <f t="shared" si="1669"/>
        <v>-0.0274461635103718</v>
      </c>
      <c r="BG456" s="255">
        <f t="shared" si="1669"/>
        <v>0.0583043208182252</v>
      </c>
      <c r="BH456" s="255">
        <f t="shared" si="1669"/>
        <v>0.190329324891386</v>
      </c>
      <c r="BI456" s="255">
        <f t="shared" si="1669"/>
        <v>0.29362779058095</v>
      </c>
      <c r="BJ456" s="255">
        <f t="shared" si="1669"/>
        <v>0.22375169465386</v>
      </c>
      <c r="BK456" s="254">
        <f t="shared" si="1669"/>
        <v>0.198479247524524</v>
      </c>
      <c r="BL456" s="255">
        <f t="shared" si="1669"/>
        <v>0.0578768478958216</v>
      </c>
      <c r="BM456" s="255">
        <f t="shared" si="1669"/>
        <v>0.153618097337967</v>
      </c>
      <c r="BN456" s="255">
        <f t="shared" si="1669"/>
        <v>0.0603079882400517</v>
      </c>
      <c r="BO456" s="255">
        <f t="shared" si="1669"/>
        <v>0.155895007092532</v>
      </c>
      <c r="BP456" s="254">
        <f t="shared" si="1669"/>
        <v>0.117136429800185</v>
      </c>
      <c r="BQ456" s="255">
        <f t="shared" si="1669"/>
        <v>0.281139111472406</v>
      </c>
      <c r="BR456" s="255">
        <f t="shared" si="1669"/>
        <v>0.359133561532896</v>
      </c>
      <c r="BS456" s="255">
        <f t="shared" si="1669"/>
        <v>0.214286450548884</v>
      </c>
      <c r="BT456" s="255">
        <f t="shared" si="1669"/>
        <v>0.179408513270925</v>
      </c>
      <c r="BU456" s="254">
        <f t="shared" si="1669"/>
        <v>0.239521796343478</v>
      </c>
      <c r="BV456" s="255">
        <f t="shared" si="1669"/>
        <v>0.217752575865924</v>
      </c>
      <c r="BW456" s="255">
        <f t="shared" si="1669"/>
        <v>0.226141672228048</v>
      </c>
      <c r="BX456" s="255">
        <f t="shared" si="1669"/>
        <v>0.25406607585481</v>
      </c>
      <c r="BY456" s="255">
        <f t="shared" si="1669"/>
        <v>0.145280917717574</v>
      </c>
      <c r="BZ456" s="254">
        <f t="shared" si="1669"/>
        <v>0.197733938450419</v>
      </c>
      <c r="CA456" s="255">
        <f t="shared" si="1669"/>
        <v>-1.2493982978653</v>
      </c>
      <c r="CB456" s="255">
        <f t="shared" si="1669"/>
        <v>-1.03429619262369</v>
      </c>
      <c r="CC456" s="255">
        <f t="shared" si="1669"/>
        <v>-0.243369840388807</v>
      </c>
      <c r="CD456" s="255">
        <f t="shared" si="1669"/>
        <v>-0.488451979607007</v>
      </c>
      <c r="CE456" s="254">
        <f t="shared" si="1669"/>
        <v>-0.691600214118163</v>
      </c>
      <c r="CF456" s="255">
        <f t="shared" si="1669"/>
        <v>-4.28805465278238</v>
      </c>
      <c r="CG456" s="255">
        <f t="shared" si="1669"/>
        <v>-35.9510674475723</v>
      </c>
      <c r="CH456" s="255">
        <f t="shared" si="1669"/>
        <v>0.616568259080336</v>
      </c>
      <c r="CI456" s="255">
        <f t="shared" si="1669"/>
        <v>0.929347786201278</v>
      </c>
      <c r="CJ456" s="254">
        <f t="shared" si="1669"/>
        <v>2.42315327011364</v>
      </c>
      <c r="CK456" s="255">
        <f t="shared" si="1669"/>
        <v>0.620869810787913</v>
      </c>
      <c r="CL456" s="255">
        <f t="shared" si="1669"/>
        <v>0.38817596056131</v>
      </c>
      <c r="CM456" s="255">
        <f t="shared" si="1669"/>
        <v>0.343292750415053</v>
      </c>
      <c r="CN456" s="255">
        <f t="shared" ref="CN456:CT456" si="1670">(CN455/CI455)-1</f>
        <v>0.258396065289417</v>
      </c>
      <c r="CO456" s="254">
        <f t="shared" si="1670"/>
        <v>0.361851498141494</v>
      </c>
      <c r="CP456" s="255">
        <f t="shared" si="1670"/>
        <v>0.616734907221884</v>
      </c>
      <c r="CQ456" s="255">
        <f t="shared" si="1670"/>
        <v>0.322752105666902</v>
      </c>
      <c r="CR456" s="255">
        <f t="shared" si="1670"/>
        <v>0.279224497699118</v>
      </c>
      <c r="CS456" s="255">
        <f t="shared" si="1670"/>
        <v>0.209113085324087</v>
      </c>
      <c r="CT456" s="254">
        <f t="shared" si="1670"/>
        <v>0.32182889754174</v>
      </c>
      <c r="CU456" s="255"/>
      <c r="CV456" s="255"/>
      <c r="CW456" s="255"/>
      <c r="CX456" s="255"/>
      <c r="CY456" s="254"/>
      <c r="CZ456" s="255"/>
      <c r="DA456" s="255"/>
      <c r="DB456" s="255"/>
      <c r="DC456" s="255"/>
      <c r="DD456" s="254"/>
      <c r="DE456" s="255"/>
      <c r="DF456" s="255"/>
      <c r="DG456" s="255"/>
      <c r="DH456" s="255"/>
      <c r="DI456" s="254"/>
      <c r="DJ456" s="255"/>
      <c r="DK456" s="255"/>
      <c r="DL456" s="255"/>
      <c r="DM456" s="255"/>
      <c r="DN456" s="254"/>
      <c r="DO456" s="255"/>
      <c r="DP456" s="255"/>
      <c r="DQ456" s="255"/>
      <c r="DR456" s="255"/>
      <c r="DS456" s="254"/>
    </row>
    <row r="457" hidden="1" outlineLevel="1" spans="2:123">
      <c r="B457" s="262" t="s">
        <v>72</v>
      </c>
      <c r="C457" s="252"/>
      <c r="D457" s="253"/>
      <c r="E457" s="253"/>
      <c r="F457" s="253"/>
      <c r="G457" s="253"/>
      <c r="H457" s="254"/>
      <c r="I457" s="255"/>
      <c r="J457" s="255"/>
      <c r="K457" s="255"/>
      <c r="L457" s="255"/>
      <c r="M457" s="254"/>
      <c r="N457" s="255">
        <f t="shared" ref="N457:BY457" si="1671">N455/N383</f>
        <v>0.312855188381393</v>
      </c>
      <c r="O457" s="255">
        <f t="shared" si="1671"/>
        <v>0.319077212806026</v>
      </c>
      <c r="P457" s="255">
        <f t="shared" si="1671"/>
        <v>0.321836393989983</v>
      </c>
      <c r="Q457" s="255">
        <f t="shared" si="1671"/>
        <v>0.342572972972973</v>
      </c>
      <c r="R457" s="254">
        <f t="shared" si="1671"/>
        <v>0.327709972567636</v>
      </c>
      <c r="S457" s="255">
        <f t="shared" si="1671"/>
        <v>0.32885269121813</v>
      </c>
      <c r="T457" s="255">
        <f t="shared" si="1671"/>
        <v>0.303422733077906</v>
      </c>
      <c r="U457" s="255">
        <f t="shared" si="1671"/>
        <v>0.275786082474227</v>
      </c>
      <c r="V457" s="255">
        <f t="shared" si="1671"/>
        <v>0.297862486287281</v>
      </c>
      <c r="W457" s="254">
        <f t="shared" si="1671"/>
        <v>0.300746825355016</v>
      </c>
      <c r="X457" s="255">
        <f t="shared" si="1671"/>
        <v>0.301078702225431</v>
      </c>
      <c r="Y457" s="255">
        <f t="shared" si="1671"/>
        <v>0.276709753231492</v>
      </c>
      <c r="Z457" s="255">
        <f t="shared" si="1671"/>
        <v>0.313557594291539</v>
      </c>
      <c r="AA457" s="255">
        <f t="shared" si="1671"/>
        <v>0.329855386840202</v>
      </c>
      <c r="AB457" s="254">
        <f t="shared" si="1671"/>
        <v>0.309032833499775</v>
      </c>
      <c r="AC457" s="255">
        <f t="shared" si="1671"/>
        <v>0.397544918985787</v>
      </c>
      <c r="AD457" s="255">
        <f t="shared" si="1671"/>
        <v>0.342758887171561</v>
      </c>
      <c r="AE457" s="255">
        <f t="shared" si="1671"/>
        <v>0.35465782122905</v>
      </c>
      <c r="AF457" s="255">
        <f t="shared" si="1671"/>
        <v>0.365182445759369</v>
      </c>
      <c r="AG457" s="254">
        <f t="shared" si="1671"/>
        <v>0.364052609404109</v>
      </c>
      <c r="AH457" s="255">
        <f t="shared" si="1671"/>
        <v>0.377872204472843</v>
      </c>
      <c r="AI457" s="255">
        <f t="shared" si="1671"/>
        <v>0.359510276451412</v>
      </c>
      <c r="AJ457" s="255">
        <f t="shared" si="1671"/>
        <v>0.349081130010104</v>
      </c>
      <c r="AK457" s="255">
        <f t="shared" si="1671"/>
        <v>0.374167932550275</v>
      </c>
      <c r="AL457" s="254">
        <f t="shared" si="1671"/>
        <v>0.365847534183655</v>
      </c>
      <c r="AM457" s="255">
        <f t="shared" si="1671"/>
        <v>0.337656093605899</v>
      </c>
      <c r="AN457" s="255">
        <f t="shared" si="1671"/>
        <v>0.333053771064441</v>
      </c>
      <c r="AO457" s="255">
        <f t="shared" si="1671"/>
        <v>0.33604580116328</v>
      </c>
      <c r="AP457" s="255">
        <f t="shared" si="1671"/>
        <v>0.372135163160791</v>
      </c>
      <c r="AQ457" s="254">
        <f t="shared" si="1671"/>
        <v>0.348263270044149</v>
      </c>
      <c r="AR457" s="255">
        <f t="shared" si="1671"/>
        <v>0.25824092189919</v>
      </c>
      <c r="AS457" s="255">
        <f t="shared" si="1671"/>
        <v>0.305112357908886</v>
      </c>
      <c r="AT457" s="255">
        <f t="shared" si="1671"/>
        <v>0.308519056236368</v>
      </c>
      <c r="AU457" s="255">
        <f t="shared" si="1671"/>
        <v>0.328601647739924</v>
      </c>
      <c r="AV457" s="254">
        <f t="shared" si="1671"/>
        <v>0.303198782098277</v>
      </c>
      <c r="AW457" s="255">
        <f t="shared" si="1671"/>
        <v>0.262744662462123</v>
      </c>
      <c r="AX457" s="255">
        <f t="shared" si="1671"/>
        <v>0.254696639912937</v>
      </c>
      <c r="AY457" s="255">
        <f t="shared" si="1671"/>
        <v>0.23866664086138</v>
      </c>
      <c r="AZ457" s="255">
        <f t="shared" si="1671"/>
        <v>0.289453373385665</v>
      </c>
      <c r="BA457" s="254">
        <f t="shared" si="1671"/>
        <v>0.264487752415213</v>
      </c>
      <c r="BB457" s="255">
        <f t="shared" si="1671"/>
        <v>0.22038943755691</v>
      </c>
      <c r="BC457" s="255">
        <f t="shared" si="1671"/>
        <v>0.19848489753634</v>
      </c>
      <c r="BD457" s="255">
        <f t="shared" si="1671"/>
        <v>0.200139219409223</v>
      </c>
      <c r="BE457" s="255">
        <f t="shared" si="1671"/>
        <v>0.273860575855857</v>
      </c>
      <c r="BF457" s="254">
        <f t="shared" si="1671"/>
        <v>0.228712484081558</v>
      </c>
      <c r="BG457" s="255">
        <f t="shared" si="1671"/>
        <v>0.204232459074892</v>
      </c>
      <c r="BH457" s="255">
        <f t="shared" si="1671"/>
        <v>0.210485881868643</v>
      </c>
      <c r="BI457" s="255">
        <f t="shared" si="1671"/>
        <v>0.232517420318877</v>
      </c>
      <c r="BJ457" s="255">
        <f t="shared" si="1671"/>
        <v>0.298904264153985</v>
      </c>
      <c r="BK457" s="254">
        <f t="shared" si="1671"/>
        <v>0.243866161842853</v>
      </c>
      <c r="BL457" s="255">
        <f t="shared" si="1671"/>
        <v>0.20442944982709</v>
      </c>
      <c r="BM457" s="255">
        <f t="shared" si="1671"/>
        <v>0.22372349883076</v>
      </c>
      <c r="BN457" s="255">
        <f t="shared" si="1671"/>
        <v>0.228216890143496</v>
      </c>
      <c r="BO457" s="255">
        <f t="shared" si="1671"/>
        <v>0.318626595572791</v>
      </c>
      <c r="BP457" s="254">
        <f t="shared" si="1671"/>
        <v>0.252754562631359</v>
      </c>
      <c r="BQ457" s="255">
        <f t="shared" si="1671"/>
        <v>0.229236701145179</v>
      </c>
      <c r="BR457" s="255">
        <f t="shared" si="1671"/>
        <v>0.258774671052632</v>
      </c>
      <c r="BS457" s="255">
        <f t="shared" si="1671"/>
        <v>0.247032253599985</v>
      </c>
      <c r="BT457" s="255">
        <f t="shared" si="1671"/>
        <v>0.31861346966845</v>
      </c>
      <c r="BU457" s="254">
        <f t="shared" si="1671"/>
        <v>0.270666861678838</v>
      </c>
      <c r="BV457" s="255">
        <f t="shared" si="1671"/>
        <v>0.238747526766215</v>
      </c>
      <c r="BW457" s="255">
        <f t="shared" si="1671"/>
        <v>0.26437758241457</v>
      </c>
      <c r="BX457" s="255">
        <f t="shared" si="1671"/>
        <v>0.254933563416739</v>
      </c>
      <c r="BY457" s="255">
        <f t="shared" si="1671"/>
        <v>0.3203824873707</v>
      </c>
      <c r="BZ457" s="254">
        <f t="shared" ref="BZ457:CT457" si="1672">BZ455/BZ383</f>
        <v>0.275616754055651</v>
      </c>
      <c r="CA457" s="255">
        <f t="shared" si="1672"/>
        <v>-0.115990306573835</v>
      </c>
      <c r="CB457" s="255">
        <f t="shared" si="1672"/>
        <v>-0.0184296657381616</v>
      </c>
      <c r="CC457" s="255">
        <f t="shared" si="1672"/>
        <v>0.218424405380689</v>
      </c>
      <c r="CD457" s="255">
        <f t="shared" si="1672"/>
        <v>0.227143383437715</v>
      </c>
      <c r="CE457" s="254">
        <f t="shared" si="1672"/>
        <v>0.128159574923424</v>
      </c>
      <c r="CF457" s="255">
        <f t="shared" si="1672"/>
        <v>0.184776288521462</v>
      </c>
      <c r="CG457" s="255">
        <f t="shared" si="1672"/>
        <v>0.266135343537806</v>
      </c>
      <c r="CH457" s="255">
        <f t="shared" si="1672"/>
        <v>0.255529158889077</v>
      </c>
      <c r="CI457" s="255">
        <f t="shared" si="1672"/>
        <v>0.297848596188903</v>
      </c>
      <c r="CJ457" s="254">
        <f t="shared" si="1672"/>
        <v>0.257925136904275</v>
      </c>
      <c r="CK457" s="255">
        <f t="shared" si="1672"/>
        <v>0.219662549685349</v>
      </c>
      <c r="CL457" s="255">
        <f t="shared" si="1672"/>
        <v>0.28436888548817</v>
      </c>
      <c r="CM457" s="255">
        <f t="shared" si="1672"/>
        <v>0.268789449206033</v>
      </c>
      <c r="CN457" s="255">
        <f t="shared" si="1672"/>
        <v>0.297933331292001</v>
      </c>
      <c r="CO457" s="254">
        <f t="shared" si="1672"/>
        <v>0.27166461036033</v>
      </c>
      <c r="CP457" s="255">
        <f t="shared" si="1672"/>
        <v>0.271185184643983</v>
      </c>
      <c r="CQ457" s="255">
        <f t="shared" si="1672"/>
        <v>0.309672643601878</v>
      </c>
      <c r="CR457" s="255">
        <f t="shared" si="1672"/>
        <v>0.289122724686747</v>
      </c>
      <c r="CS457" s="255">
        <f t="shared" si="1672"/>
        <v>0.312022946167461</v>
      </c>
      <c r="CT457" s="254">
        <f t="shared" si="1672"/>
        <v>0.296992534044774</v>
      </c>
      <c r="CU457" s="255"/>
      <c r="CV457" s="255"/>
      <c r="CW457" s="255"/>
      <c r="CX457" s="255"/>
      <c r="CY457" s="254"/>
      <c r="CZ457" s="255"/>
      <c r="DA457" s="255"/>
      <c r="DB457" s="255"/>
      <c r="DC457" s="255"/>
      <c r="DD457" s="254"/>
      <c r="DE457" s="255"/>
      <c r="DF457" s="255"/>
      <c r="DG457" s="255"/>
      <c r="DH457" s="255"/>
      <c r="DI457" s="254"/>
      <c r="DJ457" s="255"/>
      <c r="DK457" s="255"/>
      <c r="DL457" s="255"/>
      <c r="DM457" s="255"/>
      <c r="DN457" s="254"/>
      <c r="DO457" s="255"/>
      <c r="DP457" s="255"/>
      <c r="DQ457" s="255"/>
      <c r="DR457" s="255"/>
      <c r="DS457" s="254"/>
    </row>
    <row r="458" s="4" customFormat="1" hidden="1" outlineLevel="1" spans="2:123">
      <c r="B458" s="256" t="s">
        <v>73</v>
      </c>
      <c r="C458" s="414"/>
      <c r="D458" s="415"/>
      <c r="E458" s="415"/>
      <c r="F458" s="415"/>
      <c r="G458" s="415"/>
      <c r="H458" s="414"/>
      <c r="I458" s="415"/>
      <c r="J458" s="415"/>
      <c r="K458" s="415"/>
      <c r="L458" s="415"/>
      <c r="M458" s="414"/>
      <c r="N458" s="260"/>
      <c r="O458" s="260"/>
      <c r="P458" s="260"/>
      <c r="Q458" s="260"/>
      <c r="R458" s="414"/>
      <c r="S458" s="260">
        <f t="shared" ref="S458:AX458" si="1673">(S457-N457)*100*100</f>
        <v>159.97502836737</v>
      </c>
      <c r="T458" s="260">
        <f t="shared" si="1673"/>
        <v>-156.544797281208</v>
      </c>
      <c r="U458" s="260">
        <f t="shared" si="1673"/>
        <v>-460.503115157565</v>
      </c>
      <c r="V458" s="260">
        <f t="shared" si="1673"/>
        <v>-447.104866856918</v>
      </c>
      <c r="W458" s="259">
        <f t="shared" si="1673"/>
        <v>-269.631472126203</v>
      </c>
      <c r="X458" s="260">
        <f t="shared" si="1673"/>
        <v>-277.739889926996</v>
      </c>
      <c r="Y458" s="260">
        <f t="shared" si="1673"/>
        <v>-267.129798464131</v>
      </c>
      <c r="Z458" s="260">
        <f t="shared" si="1673"/>
        <v>377.715118173125</v>
      </c>
      <c r="AA458" s="260">
        <f t="shared" si="1673"/>
        <v>319.929005529213</v>
      </c>
      <c r="AB458" s="259">
        <f t="shared" si="1673"/>
        <v>82.8600814475905</v>
      </c>
      <c r="AC458" s="260">
        <f t="shared" si="1673"/>
        <v>964.662167603562</v>
      </c>
      <c r="AD458" s="260">
        <f t="shared" si="1673"/>
        <v>660.491339400687</v>
      </c>
      <c r="AE458" s="260">
        <f t="shared" si="1673"/>
        <v>411.00226937511</v>
      </c>
      <c r="AF458" s="260">
        <f t="shared" si="1673"/>
        <v>353.270589191664</v>
      </c>
      <c r="AG458" s="259">
        <f t="shared" si="1673"/>
        <v>550.197759043335</v>
      </c>
      <c r="AH458" s="260">
        <f t="shared" si="1673"/>
        <v>-196.727145129434</v>
      </c>
      <c r="AI458" s="260">
        <f t="shared" si="1673"/>
        <v>167.513892798509</v>
      </c>
      <c r="AJ458" s="260">
        <f t="shared" si="1673"/>
        <v>-55.7669121894588</v>
      </c>
      <c r="AK458" s="260">
        <f t="shared" si="1673"/>
        <v>89.8548679090611</v>
      </c>
      <c r="AL458" s="259">
        <f t="shared" si="1673"/>
        <v>17.9492477954624</v>
      </c>
      <c r="AM458" s="260">
        <f t="shared" si="1673"/>
        <v>-402.161108669446</v>
      </c>
      <c r="AN458" s="260">
        <f t="shared" si="1673"/>
        <v>-264.565053869714</v>
      </c>
      <c r="AO458" s="260">
        <f t="shared" si="1673"/>
        <v>-130.353288468247</v>
      </c>
      <c r="AP458" s="260">
        <f t="shared" si="1673"/>
        <v>-20.3276938948438</v>
      </c>
      <c r="AQ458" s="259">
        <f t="shared" si="1673"/>
        <v>-175.842641395062</v>
      </c>
      <c r="AR458" s="260">
        <f t="shared" si="1673"/>
        <v>-794.151717067094</v>
      </c>
      <c r="AS458" s="260">
        <f t="shared" si="1673"/>
        <v>-279.414131555542</v>
      </c>
      <c r="AT458" s="260">
        <f t="shared" si="1673"/>
        <v>-275.267449269121</v>
      </c>
      <c r="AU458" s="260">
        <f t="shared" si="1673"/>
        <v>-435.335154208664</v>
      </c>
      <c r="AV458" s="259">
        <f t="shared" si="1673"/>
        <v>-450.644879458719</v>
      </c>
      <c r="AW458" s="260">
        <f t="shared" si="1673"/>
        <v>45.0374056293318</v>
      </c>
      <c r="AX458" s="260">
        <f t="shared" si="1673"/>
        <v>-504.157179959494</v>
      </c>
      <c r="AY458" s="260">
        <f t="shared" ref="AY458:CT458" si="1674">(AY457-AT457)*100*100</f>
        <v>-698.524153749871</v>
      </c>
      <c r="AZ458" s="260">
        <f t="shared" si="1674"/>
        <v>-391.482743542597</v>
      </c>
      <c r="BA458" s="259">
        <f t="shared" si="1674"/>
        <v>-387.110296830641</v>
      </c>
      <c r="BB458" s="260">
        <f t="shared" si="1674"/>
        <v>-423.55224905213</v>
      </c>
      <c r="BC458" s="260">
        <f t="shared" si="1674"/>
        <v>-562.117423765972</v>
      </c>
      <c r="BD458" s="260">
        <f t="shared" si="1674"/>
        <v>-385.274214521574</v>
      </c>
      <c r="BE458" s="260">
        <f t="shared" si="1674"/>
        <v>-155.927975298072</v>
      </c>
      <c r="BF458" s="259">
        <f t="shared" si="1674"/>
        <v>-357.752683336548</v>
      </c>
      <c r="BG458" s="260">
        <f t="shared" si="1674"/>
        <v>-161.569784820179</v>
      </c>
      <c r="BH458" s="260">
        <f t="shared" si="1674"/>
        <v>120.009843323035</v>
      </c>
      <c r="BI458" s="260">
        <f t="shared" si="1674"/>
        <v>323.78200909654</v>
      </c>
      <c r="BJ458" s="260">
        <f t="shared" si="1674"/>
        <v>250.436882981274</v>
      </c>
      <c r="BK458" s="259">
        <f t="shared" si="1674"/>
        <v>151.536777612955</v>
      </c>
      <c r="BL458" s="260">
        <f t="shared" si="1674"/>
        <v>1.96990752198201</v>
      </c>
      <c r="BM458" s="260">
        <f t="shared" si="1674"/>
        <v>132.376169621164</v>
      </c>
      <c r="BN458" s="260">
        <f t="shared" si="1674"/>
        <v>-43.0053017538135</v>
      </c>
      <c r="BO458" s="260">
        <f t="shared" si="1674"/>
        <v>197.223314188058</v>
      </c>
      <c r="BP458" s="259">
        <f t="shared" si="1674"/>
        <v>88.8840078850586</v>
      </c>
      <c r="BQ458" s="260">
        <f t="shared" si="1674"/>
        <v>248.072513180892</v>
      </c>
      <c r="BR458" s="260">
        <f t="shared" si="1674"/>
        <v>350.511722218719</v>
      </c>
      <c r="BS458" s="260">
        <f t="shared" si="1674"/>
        <v>188.153634564893</v>
      </c>
      <c r="BT458" s="260">
        <f t="shared" si="1674"/>
        <v>-0.131259043402721</v>
      </c>
      <c r="BU458" s="259">
        <f t="shared" si="1674"/>
        <v>179.122990474793</v>
      </c>
      <c r="BV458" s="260">
        <f t="shared" si="1674"/>
        <v>95.1082562103553</v>
      </c>
      <c r="BW458" s="276">
        <f t="shared" si="1674"/>
        <v>56.0291136193891</v>
      </c>
      <c r="BX458" s="276">
        <f t="shared" si="1674"/>
        <v>79.0130981675366</v>
      </c>
      <c r="BY458" s="276">
        <f t="shared" si="1674"/>
        <v>17.6901770224985</v>
      </c>
      <c r="BZ458" s="259">
        <f t="shared" si="1674"/>
        <v>49.4989237681276</v>
      </c>
      <c r="CA458" s="276">
        <f t="shared" si="1674"/>
        <v>-3547.3783334005</v>
      </c>
      <c r="CB458" s="276">
        <f t="shared" si="1674"/>
        <v>-2828.07248152732</v>
      </c>
      <c r="CC458" s="276">
        <f t="shared" si="1674"/>
        <v>-365.091580360493</v>
      </c>
      <c r="CD458" s="276">
        <f t="shared" si="1674"/>
        <v>-932.391039329849</v>
      </c>
      <c r="CE458" s="259">
        <f t="shared" si="1674"/>
        <v>-1474.57179132227</v>
      </c>
      <c r="CF458" s="276">
        <f t="shared" si="1674"/>
        <v>3007.66595095297</v>
      </c>
      <c r="CG458" s="276">
        <f t="shared" si="1674"/>
        <v>2845.65009275968</v>
      </c>
      <c r="CH458" s="276">
        <f t="shared" si="1674"/>
        <v>371.047535083882</v>
      </c>
      <c r="CI458" s="276">
        <f t="shared" si="1674"/>
        <v>707.052127511877</v>
      </c>
      <c r="CJ458" s="259">
        <f t="shared" si="1674"/>
        <v>1297.65561980851</v>
      </c>
      <c r="CK458" s="276">
        <f t="shared" si="1674"/>
        <v>348.862611638872</v>
      </c>
      <c r="CL458" s="276">
        <f t="shared" si="1674"/>
        <v>182.335419503635</v>
      </c>
      <c r="CM458" s="276">
        <f t="shared" si="1674"/>
        <v>132.602903169554</v>
      </c>
      <c r="CN458" s="276">
        <f t="shared" si="1674"/>
        <v>0.847351030981991</v>
      </c>
      <c r="CO458" s="259">
        <f t="shared" si="1674"/>
        <v>137.394734560556</v>
      </c>
      <c r="CP458" s="276">
        <f t="shared" si="1674"/>
        <v>515.226349586344</v>
      </c>
      <c r="CQ458" s="276">
        <f t="shared" si="1674"/>
        <v>253.037581137077</v>
      </c>
      <c r="CR458" s="276">
        <f t="shared" si="1674"/>
        <v>203.332754807145</v>
      </c>
      <c r="CS458" s="276">
        <f t="shared" si="1674"/>
        <v>140.8961487546</v>
      </c>
      <c r="CT458" s="259">
        <f t="shared" si="1674"/>
        <v>253.279236844438</v>
      </c>
      <c r="CU458" s="276"/>
      <c r="CV458" s="456"/>
      <c r="CW458" s="456"/>
      <c r="CX458" s="456"/>
      <c r="CY458" s="259"/>
      <c r="CZ458" s="456"/>
      <c r="DA458" s="456"/>
      <c r="DB458" s="456"/>
      <c r="DC458" s="456"/>
      <c r="DD458" s="259"/>
      <c r="DE458" s="456"/>
      <c r="DF458" s="456"/>
      <c r="DG458" s="456"/>
      <c r="DH458" s="456"/>
      <c r="DI458" s="259"/>
      <c r="DJ458" s="456"/>
      <c r="DK458" s="456"/>
      <c r="DL458" s="456"/>
      <c r="DM458" s="456"/>
      <c r="DN458" s="259"/>
      <c r="DO458" s="456"/>
      <c r="DP458" s="456"/>
      <c r="DQ458" s="456"/>
      <c r="DR458" s="456"/>
      <c r="DS458" s="259"/>
    </row>
    <row r="459" hidden="1" outlineLevel="1" spans="2:123">
      <c r="B459" s="432"/>
      <c r="C459" s="246"/>
      <c r="D459" s="247"/>
      <c r="E459" s="247"/>
      <c r="F459" s="247"/>
      <c r="G459" s="247"/>
      <c r="H459" s="246"/>
      <c r="I459" s="247"/>
      <c r="J459" s="247"/>
      <c r="K459" s="247"/>
      <c r="L459" s="247"/>
      <c r="M459" s="246"/>
      <c r="N459" s="247"/>
      <c r="O459" s="247"/>
      <c r="P459" s="247"/>
      <c r="Q459" s="247"/>
      <c r="R459" s="246"/>
      <c r="S459" s="247"/>
      <c r="T459" s="247"/>
      <c r="U459" s="247"/>
      <c r="V459" s="247"/>
      <c r="W459" s="246"/>
      <c r="X459" s="247"/>
      <c r="Y459" s="247"/>
      <c r="Z459" s="247"/>
      <c r="AA459" s="247"/>
      <c r="AB459" s="246"/>
      <c r="AC459" s="247"/>
      <c r="AD459" s="247"/>
      <c r="AE459" s="247"/>
      <c r="AF459" s="247"/>
      <c r="AG459" s="246"/>
      <c r="AH459" s="247"/>
      <c r="AI459" s="247"/>
      <c r="AJ459" s="247"/>
      <c r="AK459" s="247"/>
      <c r="AL459" s="246"/>
      <c r="AM459" s="247"/>
      <c r="AN459" s="247"/>
      <c r="AO459" s="247"/>
      <c r="AP459" s="247"/>
      <c r="AQ459" s="246"/>
      <c r="AR459" s="247"/>
      <c r="AS459" s="247"/>
      <c r="AT459" s="247"/>
      <c r="AU459" s="247"/>
      <c r="AV459" s="246"/>
      <c r="AW459" s="247"/>
      <c r="AX459" s="247"/>
      <c r="AY459" s="247"/>
      <c r="AZ459" s="247"/>
      <c r="BA459" s="246"/>
      <c r="BB459" s="247"/>
      <c r="BC459" s="247"/>
      <c r="BD459" s="247"/>
      <c r="BE459" s="247"/>
      <c r="BF459" s="246"/>
      <c r="BG459" s="247"/>
      <c r="BH459" s="247"/>
      <c r="BI459" s="247"/>
      <c r="BJ459" s="247"/>
      <c r="BK459" s="246"/>
      <c r="BL459" s="247"/>
      <c r="BM459" s="247"/>
      <c r="BN459" s="247"/>
      <c r="BO459" s="247"/>
      <c r="BP459" s="246"/>
      <c r="BQ459" s="247"/>
      <c r="BR459" s="247"/>
      <c r="BS459" s="247"/>
      <c r="BT459" s="247"/>
      <c r="BU459" s="246"/>
      <c r="BV459" s="247"/>
      <c r="BW459" s="247"/>
      <c r="BX459" s="247"/>
      <c r="BY459" s="247"/>
      <c r="BZ459" s="246"/>
      <c r="CA459" s="247"/>
      <c r="CB459" s="247"/>
      <c r="CC459" s="247"/>
      <c r="CD459" s="247"/>
      <c r="CE459" s="246"/>
      <c r="CF459" s="247"/>
      <c r="CG459" s="247"/>
      <c r="CH459" s="247"/>
      <c r="CI459" s="247"/>
      <c r="CJ459" s="246"/>
      <c r="CK459" s="247"/>
      <c r="CL459" s="247"/>
      <c r="CM459" s="247"/>
      <c r="CN459" s="247"/>
      <c r="CO459" s="457"/>
      <c r="CP459" s="247"/>
      <c r="CQ459" s="247"/>
      <c r="CR459" s="247"/>
      <c r="CS459" s="247"/>
      <c r="CT459" s="246"/>
      <c r="CU459" s="247"/>
      <c r="CV459" s="247"/>
      <c r="CW459" s="247"/>
      <c r="CX459" s="247"/>
      <c r="CY459" s="246"/>
      <c r="CZ459" s="247"/>
      <c r="DA459" s="247"/>
      <c r="DB459" s="247"/>
      <c r="DC459" s="247"/>
      <c r="DD459" s="246"/>
      <c r="DE459" s="247"/>
      <c r="DF459" s="247"/>
      <c r="DG459" s="247"/>
      <c r="DH459" s="247"/>
      <c r="DI459" s="246"/>
      <c r="DJ459" s="247"/>
      <c r="DK459" s="247"/>
      <c r="DL459" s="247"/>
      <c r="DM459" s="247"/>
      <c r="DN459" s="246"/>
      <c r="DO459" s="247"/>
      <c r="DP459" s="247"/>
      <c r="DQ459" s="247"/>
      <c r="DR459" s="247"/>
      <c r="DS459" s="246"/>
    </row>
    <row r="460" hidden="1" outlineLevel="1" spans="2:123">
      <c r="B460" s="184" t="s">
        <v>468</v>
      </c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  <c r="AA460" s="185"/>
      <c r="AB460" s="185"/>
      <c r="AC460" s="185"/>
      <c r="AD460" s="185"/>
      <c r="AE460" s="185"/>
      <c r="AF460" s="185"/>
      <c r="AG460" s="185"/>
      <c r="AH460" s="185"/>
      <c r="AI460" s="185"/>
      <c r="AJ460" s="185"/>
      <c r="AK460" s="185"/>
      <c r="AL460" s="185"/>
      <c r="AM460" s="185"/>
      <c r="AN460" s="185"/>
      <c r="AO460" s="185"/>
      <c r="AP460" s="185"/>
      <c r="AQ460" s="185"/>
      <c r="AR460" s="185"/>
      <c r="AS460" s="185"/>
      <c r="AT460" s="185"/>
      <c r="AU460" s="185"/>
      <c r="AV460" s="185"/>
      <c r="AW460" s="185"/>
      <c r="AX460" s="185"/>
      <c r="AY460" s="185"/>
      <c r="AZ460" s="185"/>
      <c r="BA460" s="185"/>
      <c r="BB460" s="185"/>
      <c r="BC460" s="185"/>
      <c r="BD460" s="185"/>
      <c r="BE460" s="185"/>
      <c r="BF460" s="185"/>
      <c r="BG460" s="185"/>
      <c r="BH460" s="185"/>
      <c r="BI460" s="185"/>
      <c r="BJ460" s="185"/>
      <c r="BK460" s="185"/>
      <c r="BL460" s="185"/>
      <c r="BM460" s="185"/>
      <c r="BN460" s="185"/>
      <c r="BO460" s="185"/>
      <c r="BP460" s="185"/>
      <c r="BQ460" s="185"/>
      <c r="BR460" s="185"/>
      <c r="BS460" s="185"/>
      <c r="BT460" s="185"/>
      <c r="BU460" s="185"/>
      <c r="BV460" s="185"/>
      <c r="BW460" s="185"/>
      <c r="BX460" s="185"/>
      <c r="BY460" s="185"/>
      <c r="BZ460" s="185"/>
      <c r="CA460" s="185"/>
      <c r="CB460" s="185"/>
      <c r="CC460" s="458"/>
      <c r="CD460" s="185"/>
      <c r="CE460" s="185"/>
      <c r="CF460" s="185"/>
      <c r="CG460" s="185"/>
      <c r="CH460" s="185"/>
      <c r="CI460" s="185"/>
      <c r="CJ460" s="185"/>
      <c r="CK460" s="185"/>
      <c r="CL460" s="185"/>
      <c r="CM460" s="185"/>
      <c r="CN460" s="185"/>
      <c r="CO460" s="185"/>
      <c r="CP460" s="185"/>
      <c r="CQ460" s="185"/>
      <c r="CR460" s="185"/>
      <c r="CS460" s="185"/>
      <c r="CT460" s="185"/>
      <c r="CU460" s="185"/>
      <c r="CV460" s="185"/>
      <c r="CW460" s="185"/>
      <c r="CX460" s="185"/>
      <c r="CY460" s="185"/>
      <c r="CZ460" s="185"/>
      <c r="DA460" s="185"/>
      <c r="DB460" s="185"/>
      <c r="DC460" s="185"/>
      <c r="DD460" s="185"/>
      <c r="DE460" s="185"/>
      <c r="DF460" s="185"/>
      <c r="DG460" s="185"/>
      <c r="DH460" s="185"/>
      <c r="DI460" s="185"/>
      <c r="DJ460" s="185"/>
      <c r="DK460" s="185"/>
      <c r="DL460" s="185"/>
      <c r="DM460" s="185"/>
      <c r="DN460" s="186"/>
      <c r="DO460" s="185"/>
      <c r="DP460" s="185"/>
      <c r="DQ460" s="185"/>
      <c r="DR460" s="185"/>
      <c r="DS460" s="186"/>
    </row>
    <row r="461" s="96" customFormat="1" hidden="1" outlineLevel="1" spans="2:123">
      <c r="B461" s="379" t="s">
        <v>469</v>
      </c>
      <c r="C461" s="264"/>
      <c r="D461" s="265"/>
      <c r="E461" s="265"/>
      <c r="F461" s="265"/>
      <c r="G461" s="265"/>
      <c r="H461" s="264"/>
      <c r="I461" s="265"/>
      <c r="J461" s="265"/>
      <c r="K461" s="265"/>
      <c r="L461" s="265"/>
      <c r="M461" s="264"/>
      <c r="N461" s="265"/>
      <c r="O461" s="265"/>
      <c r="P461" s="265"/>
      <c r="Q461" s="265"/>
      <c r="R461" s="264"/>
      <c r="S461" s="265"/>
      <c r="T461" s="265"/>
      <c r="U461" s="265"/>
      <c r="V461" s="265"/>
      <c r="W461" s="264"/>
      <c r="X461" s="265">
        <v>0.869</v>
      </c>
      <c r="Y461" s="265">
        <v>2.8</v>
      </c>
      <c r="Z461" s="265">
        <v>4.2</v>
      </c>
      <c r="AA461" s="265">
        <f>9.3-0.9</f>
        <v>8.4</v>
      </c>
      <c r="AB461" s="264">
        <f>SUM(X461:AA461)</f>
        <v>16.269</v>
      </c>
      <c r="AC461" s="265">
        <v>9.1278</v>
      </c>
      <c r="AD461" s="265">
        <v>9.6</v>
      </c>
      <c r="AE461" s="265">
        <v>13.4</v>
      </c>
      <c r="AF461" s="265">
        <v>24.6</v>
      </c>
      <c r="AG461" s="264">
        <f>SUM(AC461:AF461)</f>
        <v>56.7278</v>
      </c>
      <c r="AH461" s="265">
        <v>13.82172</v>
      </c>
      <c r="AI461" s="265">
        <v>18.6</v>
      </c>
      <c r="AJ461" s="265">
        <v>23.9</v>
      </c>
      <c r="AK461" s="265">
        <v>50.1</v>
      </c>
      <c r="AL461" s="264">
        <f>SUM(AH461:AK461)</f>
        <v>106.42172</v>
      </c>
      <c r="AM461" s="271">
        <v>38.447</v>
      </c>
      <c r="AN461" s="271">
        <v>35.422</v>
      </c>
      <c r="AO461" s="271">
        <v>45.122</v>
      </c>
      <c r="AP461" s="271">
        <v>78.3</v>
      </c>
      <c r="AQ461" s="264">
        <f>SUM(AM461:AP461)</f>
        <v>197.291</v>
      </c>
      <c r="AR461" s="271">
        <v>53.967</v>
      </c>
      <c r="AS461" s="271">
        <v>49.384</v>
      </c>
      <c r="AT461" s="271">
        <v>61.954</v>
      </c>
      <c r="AU461" s="271">
        <v>97.778</v>
      </c>
      <c r="AV461" s="264">
        <f>SUM(AR461:AU461)</f>
        <v>263.083</v>
      </c>
      <c r="AW461" s="271">
        <v>65.974</v>
      </c>
      <c r="AX461" s="271">
        <v>63.5</v>
      </c>
      <c r="AY461" s="265">
        <v>77.203</v>
      </c>
      <c r="AZ461" s="271">
        <v>114.5</v>
      </c>
      <c r="BA461" s="264">
        <f>SUM(AW461:AZ461)</f>
        <v>321.177</v>
      </c>
      <c r="BB461" s="271">
        <v>83.636</v>
      </c>
      <c r="BC461" s="271">
        <v>82.239</v>
      </c>
      <c r="BD461" s="271">
        <v>89.33</v>
      </c>
      <c r="BE461" s="271">
        <v>146.32</v>
      </c>
      <c r="BF461" s="264">
        <f>SUM(BB461:BE461)</f>
        <v>401.525</v>
      </c>
      <c r="BG461" s="271">
        <v>97.566</v>
      </c>
      <c r="BH461" s="271">
        <v>87.399</v>
      </c>
      <c r="BI461" s="271">
        <v>104.013</v>
      </c>
      <c r="BJ461" s="271">
        <v>164.309</v>
      </c>
      <c r="BK461" s="264">
        <f>SUM(BG461:BJ461)</f>
        <v>453.287</v>
      </c>
      <c r="BL461" s="271">
        <v>97.223</v>
      </c>
      <c r="BM461" s="265">
        <v>113.049</v>
      </c>
      <c r="BN461" s="271">
        <v>131.181</v>
      </c>
      <c r="BO461" s="265">
        <v>236.14</v>
      </c>
      <c r="BP461" s="264">
        <f>SUM(BL461:BO461)</f>
        <v>577.593</v>
      </c>
      <c r="BQ461" s="265">
        <v>157.82</v>
      </c>
      <c r="BR461" s="265">
        <v>167.4</v>
      </c>
      <c r="BS461" s="265">
        <v>189.375</v>
      </c>
      <c r="BT461" s="265">
        <f>858.856-SUM(BQ461:BS461)</f>
        <v>344.261</v>
      </c>
      <c r="BU461" s="264">
        <f>SUM(BQ461:BT461)</f>
        <v>858.856</v>
      </c>
      <c r="BV461" s="265">
        <v>209.844</v>
      </c>
      <c r="BW461" s="265">
        <v>217.636</v>
      </c>
      <c r="BX461" s="265">
        <v>246.7</v>
      </c>
      <c r="BY461" s="265">
        <v>463.6</v>
      </c>
      <c r="BZ461" s="264">
        <f>SUM(BV461:BY461)</f>
        <v>1137.78</v>
      </c>
      <c r="CA461" s="271">
        <v>352.039</v>
      </c>
      <c r="CB461" s="265">
        <v>554.3</v>
      </c>
      <c r="CC461" s="265">
        <v>478.263</v>
      </c>
      <c r="CD461" s="271">
        <f>2284.068-CC461-CB461-CA461</f>
        <v>899.466</v>
      </c>
      <c r="CE461" s="264">
        <f>SUM(CA461:CD461)</f>
        <v>2284.068</v>
      </c>
      <c r="CF461" s="265">
        <v>545.1</v>
      </c>
      <c r="CG461" s="265">
        <v>597.426</v>
      </c>
      <c r="CH461" s="271">
        <v>586.525</v>
      </c>
      <c r="CI461" s="265">
        <f>2777.944-CF461-CG461-CH461</f>
        <v>1048.893</v>
      </c>
      <c r="CJ461" s="264">
        <f>SUM(CF461:CI461)</f>
        <v>2777.944</v>
      </c>
      <c r="CK461" s="265">
        <v>721.253</v>
      </c>
      <c r="CL461" s="265">
        <v>775.425</v>
      </c>
      <c r="CM461" s="265">
        <v>767.351</v>
      </c>
      <c r="CN461" s="265">
        <f>3699.791-CM461-CL461-CK461</f>
        <v>1435.762</v>
      </c>
      <c r="CO461" s="264">
        <f>SUM(CK461:CN461)</f>
        <v>3699.791</v>
      </c>
      <c r="CP461" s="265">
        <v>834.942</v>
      </c>
      <c r="CQ461" s="265">
        <v>893.673</v>
      </c>
      <c r="CR461" s="271">
        <v>908.127</v>
      </c>
      <c r="CS461" s="265">
        <f>4311.11-CR461-CQ461-CP461</f>
        <v>1674.368</v>
      </c>
      <c r="CT461" s="264">
        <f>SUM(CP461:CS461)</f>
        <v>4311.11</v>
      </c>
      <c r="CU461" s="265"/>
      <c r="CV461" s="265"/>
      <c r="CW461" s="265"/>
      <c r="CX461" s="265"/>
      <c r="CY461" s="264"/>
      <c r="CZ461" s="265"/>
      <c r="DA461" s="265"/>
      <c r="DB461" s="265"/>
      <c r="DC461" s="265"/>
      <c r="DD461" s="264"/>
      <c r="DE461" s="265"/>
      <c r="DF461" s="265"/>
      <c r="DG461" s="265"/>
      <c r="DH461" s="265"/>
      <c r="DI461" s="264"/>
      <c r="DJ461" s="265"/>
      <c r="DK461" s="265"/>
      <c r="DL461" s="265"/>
      <c r="DM461" s="265"/>
      <c r="DN461" s="264"/>
      <c r="DO461" s="265"/>
      <c r="DP461" s="265"/>
      <c r="DQ461" s="265"/>
      <c r="DR461" s="265"/>
      <c r="DS461" s="264"/>
    </row>
    <row r="462" hidden="1" outlineLevel="1" spans="2:123">
      <c r="B462" s="149" t="s">
        <v>69</v>
      </c>
      <c r="C462" s="252"/>
      <c r="D462" s="253"/>
      <c r="E462" s="253"/>
      <c r="F462" s="253"/>
      <c r="G462" s="253"/>
      <c r="H462" s="252"/>
      <c r="I462" s="253"/>
      <c r="J462" s="253"/>
      <c r="K462" s="253"/>
      <c r="L462" s="253"/>
      <c r="M462" s="252"/>
      <c r="N462" s="253"/>
      <c r="O462" s="253"/>
      <c r="P462" s="253"/>
      <c r="Q462" s="253"/>
      <c r="R462" s="252"/>
      <c r="S462" s="253"/>
      <c r="T462" s="253"/>
      <c r="U462" s="253"/>
      <c r="V462" s="253"/>
      <c r="W462" s="252"/>
      <c r="X462" s="253"/>
      <c r="Y462" s="253"/>
      <c r="Z462" s="253"/>
      <c r="AA462" s="253"/>
      <c r="AB462" s="252"/>
      <c r="AC462" s="255">
        <f t="shared" ref="AC462:BH462" si="1675">AC461/X461-1</f>
        <v>9.50379746835443</v>
      </c>
      <c r="AD462" s="255">
        <f t="shared" si="1675"/>
        <v>2.42857142857143</v>
      </c>
      <c r="AE462" s="255">
        <f t="shared" si="1675"/>
        <v>2.19047619047619</v>
      </c>
      <c r="AF462" s="255">
        <f t="shared" si="1675"/>
        <v>1.92857142857143</v>
      </c>
      <c r="AG462" s="254">
        <f t="shared" si="1675"/>
        <v>2.48686458909583</v>
      </c>
      <c r="AH462" s="255">
        <f t="shared" si="1675"/>
        <v>0.514244396240058</v>
      </c>
      <c r="AI462" s="255">
        <f t="shared" si="1675"/>
        <v>0.9375</v>
      </c>
      <c r="AJ462" s="255">
        <f t="shared" si="1675"/>
        <v>0.783582089552239</v>
      </c>
      <c r="AK462" s="255">
        <f t="shared" si="1675"/>
        <v>1.03658536585366</v>
      </c>
      <c r="AL462" s="254">
        <f t="shared" si="1675"/>
        <v>0.876006473016757</v>
      </c>
      <c r="AM462" s="255">
        <f t="shared" si="1675"/>
        <v>1.78163643888026</v>
      </c>
      <c r="AN462" s="255">
        <f t="shared" si="1675"/>
        <v>0.904408602150537</v>
      </c>
      <c r="AO462" s="255">
        <f t="shared" si="1675"/>
        <v>0.887949790794979</v>
      </c>
      <c r="AP462" s="255">
        <f t="shared" si="1675"/>
        <v>0.562874251497006</v>
      </c>
      <c r="AQ462" s="254">
        <f t="shared" si="1675"/>
        <v>0.853860283408312</v>
      </c>
      <c r="AR462" s="255">
        <f t="shared" si="1675"/>
        <v>0.403672588238354</v>
      </c>
      <c r="AS462" s="255">
        <f t="shared" si="1675"/>
        <v>0.394161820337643</v>
      </c>
      <c r="AT462" s="255">
        <f t="shared" si="1675"/>
        <v>0.373033110234475</v>
      </c>
      <c r="AU462" s="255">
        <f t="shared" si="1675"/>
        <v>0.248761174968072</v>
      </c>
      <c r="AV462" s="254">
        <f t="shared" si="1675"/>
        <v>0.333476945223046</v>
      </c>
      <c r="AW462" s="255">
        <f t="shared" si="1675"/>
        <v>0.222487816628681</v>
      </c>
      <c r="AX462" s="255">
        <f t="shared" si="1675"/>
        <v>0.285841568119229</v>
      </c>
      <c r="AY462" s="255">
        <f t="shared" si="1675"/>
        <v>0.246134228621235</v>
      </c>
      <c r="AZ462" s="255">
        <f t="shared" si="1675"/>
        <v>0.171020065863486</v>
      </c>
      <c r="BA462" s="254">
        <f t="shared" si="1675"/>
        <v>0.220820045384917</v>
      </c>
      <c r="BB462" s="255">
        <f t="shared" si="1675"/>
        <v>0.267711522721072</v>
      </c>
      <c r="BC462" s="255">
        <f t="shared" si="1675"/>
        <v>0.295102362204724</v>
      </c>
      <c r="BD462" s="255">
        <f t="shared" si="1675"/>
        <v>0.15707938810668</v>
      </c>
      <c r="BE462" s="255">
        <f t="shared" si="1675"/>
        <v>0.277903930131004</v>
      </c>
      <c r="BF462" s="254">
        <f t="shared" si="1675"/>
        <v>0.250167353203996</v>
      </c>
      <c r="BG462" s="255">
        <f t="shared" si="1675"/>
        <v>0.166555071978574</v>
      </c>
      <c r="BH462" s="255">
        <f t="shared" si="1675"/>
        <v>0.0627439535986576</v>
      </c>
      <c r="BI462" s="255">
        <f t="shared" ref="BI462:CN462" si="1676">BI461/BD461-1</f>
        <v>0.164368073435576</v>
      </c>
      <c r="BJ462" s="255">
        <f t="shared" si="1676"/>
        <v>0.122942864953526</v>
      </c>
      <c r="BK462" s="254">
        <f t="shared" si="1676"/>
        <v>0.128913517215616</v>
      </c>
      <c r="BL462" s="255">
        <f t="shared" si="1676"/>
        <v>-0.00351556894819915</v>
      </c>
      <c r="BM462" s="255">
        <f t="shared" si="1676"/>
        <v>0.293481618782824</v>
      </c>
      <c r="BN462" s="255">
        <f t="shared" si="1676"/>
        <v>0.261198119465836</v>
      </c>
      <c r="BO462" s="255">
        <f t="shared" si="1676"/>
        <v>0.437170209787656</v>
      </c>
      <c r="BP462" s="254">
        <f t="shared" si="1676"/>
        <v>0.274232439933199</v>
      </c>
      <c r="BQ462" s="255">
        <f t="shared" si="1676"/>
        <v>0.62327844234389</v>
      </c>
      <c r="BR462" s="255">
        <f t="shared" si="1676"/>
        <v>0.480773823740148</v>
      </c>
      <c r="BS462" s="255">
        <f t="shared" si="1676"/>
        <v>0.443616072449516</v>
      </c>
      <c r="BT462" s="255">
        <f t="shared" si="1676"/>
        <v>0.457868213771491</v>
      </c>
      <c r="BU462" s="254">
        <f t="shared" si="1676"/>
        <v>0.486957078773462</v>
      </c>
      <c r="BV462" s="255">
        <f t="shared" si="1676"/>
        <v>0.329641363578761</v>
      </c>
      <c r="BW462" s="255">
        <f t="shared" si="1676"/>
        <v>0.300095579450418</v>
      </c>
      <c r="BX462" s="255">
        <f t="shared" si="1676"/>
        <v>0.302706270627063</v>
      </c>
      <c r="BY462" s="255">
        <f t="shared" si="1676"/>
        <v>0.346652685026768</v>
      </c>
      <c r="BZ462" s="254">
        <f t="shared" si="1676"/>
        <v>0.324762241865924</v>
      </c>
      <c r="CA462" s="255">
        <f t="shared" si="1676"/>
        <v>0.677622424277082</v>
      </c>
      <c r="CB462" s="255">
        <f t="shared" si="1676"/>
        <v>1.54691319450826</v>
      </c>
      <c r="CC462" s="255">
        <f t="shared" si="1676"/>
        <v>0.938642075395217</v>
      </c>
      <c r="CD462" s="255">
        <f t="shared" si="1676"/>
        <v>0.940176876617774</v>
      </c>
      <c r="CE462" s="254">
        <f t="shared" si="1676"/>
        <v>1.00747771977008</v>
      </c>
      <c r="CF462" s="255">
        <f t="shared" si="1676"/>
        <v>0.548407988887595</v>
      </c>
      <c r="CG462" s="255">
        <f t="shared" si="1676"/>
        <v>0.0778026339527333</v>
      </c>
      <c r="CH462" s="255">
        <f t="shared" si="1676"/>
        <v>0.226364991646855</v>
      </c>
      <c r="CI462" s="255">
        <f t="shared" si="1676"/>
        <v>0.166128569617973</v>
      </c>
      <c r="CJ462" s="254">
        <f t="shared" si="1676"/>
        <v>0.216226487127353</v>
      </c>
      <c r="CK462" s="255">
        <f t="shared" si="1676"/>
        <v>0.323157218858925</v>
      </c>
      <c r="CL462" s="255">
        <f t="shared" si="1676"/>
        <v>0.297943176226009</v>
      </c>
      <c r="CM462" s="255">
        <f t="shared" si="1676"/>
        <v>0.308300583947828</v>
      </c>
      <c r="CN462" s="255">
        <f t="shared" si="1676"/>
        <v>0.36883552469127</v>
      </c>
      <c r="CO462" s="254">
        <f t="shared" ref="CO462:CT462" si="1677">CO461/CJ461-1</f>
        <v>0.331845062391467</v>
      </c>
      <c r="CP462" s="255">
        <f t="shared" si="1677"/>
        <v>0.15762707399484</v>
      </c>
      <c r="CQ462" s="255">
        <f t="shared" si="1677"/>
        <v>0.152494438533707</v>
      </c>
      <c r="CR462" s="255">
        <f t="shared" si="1677"/>
        <v>0.183457114149848</v>
      </c>
      <c r="CS462" s="255">
        <f t="shared" si="1677"/>
        <v>0.166187710776577</v>
      </c>
      <c r="CT462" s="254">
        <f t="shared" si="1677"/>
        <v>0.165230684652187</v>
      </c>
      <c r="CU462" s="255"/>
      <c r="CV462" s="255"/>
      <c r="CW462" s="255"/>
      <c r="CX462" s="255"/>
      <c r="CY462" s="254"/>
      <c r="CZ462" s="255"/>
      <c r="DA462" s="255"/>
      <c r="DB462" s="255"/>
      <c r="DC462" s="255"/>
      <c r="DD462" s="254"/>
      <c r="DE462" s="255"/>
      <c r="DF462" s="255"/>
      <c r="DG462" s="255"/>
      <c r="DH462" s="255"/>
      <c r="DI462" s="254"/>
      <c r="DJ462" s="255"/>
      <c r="DK462" s="255"/>
      <c r="DL462" s="255"/>
      <c r="DM462" s="255"/>
      <c r="DN462" s="254"/>
      <c r="DO462" s="255"/>
      <c r="DP462" s="255"/>
      <c r="DQ462" s="255"/>
      <c r="DR462" s="255"/>
      <c r="DS462" s="254"/>
    </row>
    <row r="463" hidden="1" outlineLevel="1" spans="2:123">
      <c r="B463" s="149" t="s">
        <v>470</v>
      </c>
      <c r="C463" s="252"/>
      <c r="D463" s="253"/>
      <c r="E463" s="253"/>
      <c r="F463" s="253"/>
      <c r="G463" s="253"/>
      <c r="H463" s="252"/>
      <c r="I463" s="253"/>
      <c r="J463" s="253"/>
      <c r="K463" s="253"/>
      <c r="L463" s="253"/>
      <c r="M463" s="252"/>
      <c r="N463" s="253"/>
      <c r="O463" s="253"/>
      <c r="P463" s="253"/>
      <c r="Q463" s="253"/>
      <c r="R463" s="252"/>
      <c r="S463" s="253"/>
      <c r="T463" s="253"/>
      <c r="U463" s="253"/>
      <c r="V463" s="253"/>
      <c r="W463" s="252"/>
      <c r="X463" s="253"/>
      <c r="Y463" s="253"/>
      <c r="Z463" s="253"/>
      <c r="AA463" s="253"/>
      <c r="AB463" s="252"/>
      <c r="AC463" s="255"/>
      <c r="AD463" s="255"/>
      <c r="AE463" s="255"/>
      <c r="AF463" s="255"/>
      <c r="AG463" s="254"/>
      <c r="AH463" s="255"/>
      <c r="AI463" s="255"/>
      <c r="AJ463" s="255"/>
      <c r="AK463" s="255"/>
      <c r="AL463" s="254"/>
      <c r="AM463" s="255"/>
      <c r="AN463" s="255"/>
      <c r="AO463" s="255"/>
      <c r="AP463" s="255"/>
      <c r="AQ463" s="254"/>
      <c r="AR463" s="255"/>
      <c r="AS463" s="255"/>
      <c r="AT463" s="255"/>
      <c r="AU463" s="255"/>
      <c r="AV463" s="254"/>
      <c r="AW463" s="255"/>
      <c r="AX463" s="255"/>
      <c r="AY463" s="255"/>
      <c r="AZ463" s="255"/>
      <c r="BA463" s="254"/>
      <c r="BB463" s="255"/>
      <c r="BC463" s="255"/>
      <c r="BD463" s="255"/>
      <c r="BE463" s="255"/>
      <c r="BF463" s="254"/>
      <c r="BG463" s="255"/>
      <c r="BH463" s="255"/>
      <c r="BI463" s="255"/>
      <c r="BJ463" s="255"/>
      <c r="BK463" s="254"/>
      <c r="BL463" s="255"/>
      <c r="BM463" s="255"/>
      <c r="BN463" s="255"/>
      <c r="BO463" s="255"/>
      <c r="BP463" s="254"/>
      <c r="BQ463" s="255"/>
      <c r="BR463" s="255"/>
      <c r="BS463" s="255"/>
      <c r="BT463" s="255"/>
      <c r="BU463" s="254"/>
      <c r="BV463" s="255"/>
      <c r="BW463" s="255"/>
      <c r="BX463" s="255"/>
      <c r="BY463" s="255"/>
      <c r="BZ463" s="254"/>
      <c r="CA463" s="255">
        <f>CA461/$BV$461-1</f>
        <v>0.677622424277082</v>
      </c>
      <c r="CB463" s="255">
        <f>CB461/$BW$461-1</f>
        <v>1.54691319450826</v>
      </c>
      <c r="CC463" s="255">
        <f>CC461/$BX$461-1</f>
        <v>0.938642075395217</v>
      </c>
      <c r="CD463" s="255">
        <f>CD461/$BY$461-1</f>
        <v>0.940176876617774</v>
      </c>
      <c r="CE463" s="254">
        <f>CE461/$BZ$461-1</f>
        <v>1.00747771977008</v>
      </c>
      <c r="CF463" s="255">
        <f>CF461/$BV$461-1</f>
        <v>1.59764396408761</v>
      </c>
      <c r="CG463" s="255">
        <f>CG461/$BW$461-1</f>
        <v>1.74506974948997</v>
      </c>
      <c r="CH463" s="255">
        <f>CH461/$BX$461-1</f>
        <v>1.3774827725983</v>
      </c>
      <c r="CI463" s="255">
        <f>CI461/$BY$461-1</f>
        <v>1.26249568593615</v>
      </c>
      <c r="CJ463" s="254">
        <f>CJ461/$BZ$461-1</f>
        <v>1.44154757510239</v>
      </c>
      <c r="CK463" s="255">
        <f>CK461/$BV$461-1</f>
        <v>2.43709136310783</v>
      </c>
      <c r="CL463" s="255">
        <f>CL461/$BW$461-1</f>
        <v>2.56294454961495</v>
      </c>
      <c r="CM463" s="255">
        <f>CM461/$BX$461-1</f>
        <v>2.11046209971625</v>
      </c>
      <c r="CN463" s="255">
        <f>CN461/$BY$461-1</f>
        <v>2.09698446937015</v>
      </c>
      <c r="CO463" s="254">
        <f>CO461/$BZ$461-1</f>
        <v>2.25176308249398</v>
      </c>
      <c r="CP463" s="255">
        <f>CP461/$BV$461-1</f>
        <v>2.97887001772745</v>
      </c>
      <c r="CQ463" s="255">
        <f>CQ461/$BW$461-1</f>
        <v>3.10627377823522</v>
      </c>
      <c r="CR463" s="255">
        <f>CR461/$BX$461-1</f>
        <v>2.68109850020268</v>
      </c>
      <c r="CS463" s="255">
        <f>CS461/$BY$461-1</f>
        <v>2.61166522864538</v>
      </c>
      <c r="CT463" s="254">
        <f>CT461/$BZ$461-1</f>
        <v>2.78905412294117</v>
      </c>
      <c r="CU463" s="255"/>
      <c r="CV463" s="255"/>
      <c r="CW463" s="255"/>
      <c r="CX463" s="255"/>
      <c r="CY463" s="254"/>
      <c r="CZ463" s="255"/>
      <c r="DA463" s="255"/>
      <c r="DB463" s="255"/>
      <c r="DC463" s="255"/>
      <c r="DD463" s="254"/>
      <c r="DE463" s="255"/>
      <c r="DF463" s="255"/>
      <c r="DG463" s="255"/>
      <c r="DH463" s="255"/>
      <c r="DI463" s="254"/>
      <c r="DJ463" s="255"/>
      <c r="DK463" s="255"/>
      <c r="DL463" s="255"/>
      <c r="DM463" s="255"/>
      <c r="DN463" s="254"/>
      <c r="DO463" s="255"/>
      <c r="DP463" s="255"/>
      <c r="DQ463" s="255"/>
      <c r="DR463" s="255"/>
      <c r="DS463" s="254"/>
    </row>
    <row r="464" s="85" customFormat="1" hidden="1" outlineLevel="1" spans="2:123">
      <c r="B464" s="262" t="s">
        <v>286</v>
      </c>
      <c r="C464" s="380"/>
      <c r="D464" s="381"/>
      <c r="E464" s="381"/>
      <c r="F464" s="381"/>
      <c r="G464" s="381"/>
      <c r="H464" s="254"/>
      <c r="I464" s="255"/>
      <c r="J464" s="255"/>
      <c r="K464" s="255"/>
      <c r="L464" s="255"/>
      <c r="M464" s="254"/>
      <c r="N464" s="255"/>
      <c r="O464" s="255"/>
      <c r="P464" s="255"/>
      <c r="Q464" s="255"/>
      <c r="R464" s="254"/>
      <c r="S464" s="255"/>
      <c r="T464" s="255"/>
      <c r="U464" s="255"/>
      <c r="V464" s="255"/>
      <c r="W464" s="254"/>
      <c r="X464" s="255"/>
      <c r="Y464" s="255"/>
      <c r="Z464" s="255"/>
      <c r="AA464" s="255"/>
      <c r="AB464" s="254"/>
      <c r="AC464" s="255"/>
      <c r="AD464" s="255"/>
      <c r="AE464" s="255"/>
      <c r="AF464" s="255"/>
      <c r="AG464" s="254"/>
      <c r="AH464" s="255">
        <f t="shared" ref="AH464:BM464" si="1678">(AH461/X461)^(1/2)-1</f>
        <v>2.98814699524681</v>
      </c>
      <c r="AI464" s="255">
        <f t="shared" si="1678"/>
        <v>1.57737407895267</v>
      </c>
      <c r="AJ464" s="255">
        <f t="shared" si="1678"/>
        <v>1.38547190100328</v>
      </c>
      <c r="AK464" s="255">
        <f t="shared" si="1678"/>
        <v>1.44218871389697</v>
      </c>
      <c r="AL464" s="254">
        <f t="shared" si="1678"/>
        <v>1.55761227313224</v>
      </c>
      <c r="AM464" s="255">
        <f t="shared" si="1678"/>
        <v>1.05233461939119</v>
      </c>
      <c r="AN464" s="255">
        <f t="shared" si="1678"/>
        <v>0.920883043463778</v>
      </c>
      <c r="AO464" s="255">
        <f t="shared" si="1678"/>
        <v>0.835024095982345</v>
      </c>
      <c r="AP464" s="255">
        <f t="shared" si="1678"/>
        <v>0.78407590344926</v>
      </c>
      <c r="AQ464" s="254">
        <f t="shared" si="1678"/>
        <v>0.864900504515636</v>
      </c>
      <c r="AR464" s="255">
        <f t="shared" si="1678"/>
        <v>0.975982494786117</v>
      </c>
      <c r="AS464" s="255">
        <f t="shared" si="1678"/>
        <v>0.629433571349523</v>
      </c>
      <c r="AT464" s="255">
        <f t="shared" si="1678"/>
        <v>0.610036513008869</v>
      </c>
      <c r="AU464" s="255">
        <f t="shared" si="1678"/>
        <v>0.397017067407105</v>
      </c>
      <c r="AV464" s="254">
        <f t="shared" si="1678"/>
        <v>0.57228494478248</v>
      </c>
      <c r="AW464" s="255">
        <f t="shared" si="1678"/>
        <v>0.309951387516741</v>
      </c>
      <c r="AX464" s="255">
        <f t="shared" si="1678"/>
        <v>0.338906726129537</v>
      </c>
      <c r="AY464" s="255">
        <f t="shared" si="1678"/>
        <v>0.308045700919297</v>
      </c>
      <c r="AZ464" s="255">
        <f t="shared" si="1678"/>
        <v>0.209266055654783</v>
      </c>
      <c r="BA464" s="254">
        <f t="shared" si="1678"/>
        <v>0.27590571155824</v>
      </c>
      <c r="BB464" s="255">
        <f t="shared" si="1678"/>
        <v>0.244894329461864</v>
      </c>
      <c r="BC464" s="255">
        <f t="shared" si="1678"/>
        <v>0.290463657873495</v>
      </c>
      <c r="BD464" s="255">
        <f t="shared" si="1678"/>
        <v>0.200781508331906</v>
      </c>
      <c r="BE464" s="255">
        <f t="shared" si="1678"/>
        <v>0.223295199217759</v>
      </c>
      <c r="BF464" s="254">
        <f t="shared" si="1678"/>
        <v>0.235406558537409</v>
      </c>
      <c r="BG464" s="255">
        <f t="shared" si="1678"/>
        <v>0.216081948980392</v>
      </c>
      <c r="BH464" s="255">
        <f t="shared" si="1678"/>
        <v>0.173184642212985</v>
      </c>
      <c r="BI464" s="255">
        <f t="shared" si="1678"/>
        <v>0.160718009656863</v>
      </c>
      <c r="BJ464" s="255">
        <f t="shared" si="1678"/>
        <v>0.197920323075238</v>
      </c>
      <c r="BK464" s="254">
        <f t="shared" si="1678"/>
        <v>0.187994454454085</v>
      </c>
      <c r="BL464" s="255">
        <f t="shared" si="1678"/>
        <v>0.0781715852271203</v>
      </c>
      <c r="BM464" s="255">
        <f t="shared" si="1678"/>
        <v>0.172450327072516</v>
      </c>
      <c r="BN464" s="255">
        <f t="shared" ref="BN464:CE464" si="1679">(BN461/BD461)^(1/2)-1</f>
        <v>0.211816332858658</v>
      </c>
      <c r="BO464" s="255">
        <f t="shared" si="1679"/>
        <v>0.270377909444592</v>
      </c>
      <c r="BP464" s="254">
        <f t="shared" si="1679"/>
        <v>0.199374097400483</v>
      </c>
      <c r="BQ464" s="255">
        <f t="shared" si="1679"/>
        <v>0.271837920120997</v>
      </c>
      <c r="BR464" s="255">
        <f t="shared" si="1679"/>
        <v>0.383963049572726</v>
      </c>
      <c r="BS464" s="255">
        <f t="shared" si="1679"/>
        <v>0.349327934863866</v>
      </c>
      <c r="BT464" s="255">
        <f t="shared" si="1679"/>
        <v>0.447482216342822</v>
      </c>
      <c r="BU464" s="254">
        <f t="shared" si="1679"/>
        <v>0.376491535230584</v>
      </c>
      <c r="BV464" s="255">
        <f t="shared" si="1679"/>
        <v>0.469141981411646</v>
      </c>
      <c r="BW464" s="255">
        <f t="shared" si="1679"/>
        <v>0.3874968477119</v>
      </c>
      <c r="BX464" s="255">
        <f t="shared" si="1679"/>
        <v>0.371352511193966</v>
      </c>
      <c r="BY464" s="255">
        <f t="shared" si="1679"/>
        <v>0.401157430302019</v>
      </c>
      <c r="BZ464" s="254">
        <f t="shared" si="1679"/>
        <v>0.403518647269902</v>
      </c>
      <c r="CA464" s="255">
        <f t="shared" si="1679"/>
        <v>0.49353144184717</v>
      </c>
      <c r="CB464" s="255">
        <f t="shared" si="1679"/>
        <v>0.819678703899162</v>
      </c>
      <c r="CC464" s="255">
        <f t="shared" si="1679"/>
        <v>0.589176260871906</v>
      </c>
      <c r="CD464" s="255">
        <f t="shared" si="1679"/>
        <v>0.616398589557716</v>
      </c>
      <c r="CE464" s="254">
        <f t="shared" si="1679"/>
        <v>0.630776098837146</v>
      </c>
      <c r="CF464" s="255">
        <f t="shared" ref="CF464:CL464" si="1680">(CF461/BV461)^(1/2)-1</f>
        <v>0.611720808355966</v>
      </c>
      <c r="CG464" s="255">
        <f t="shared" si="1680"/>
        <v>0.656825201851413</v>
      </c>
      <c r="CH464" s="255">
        <f t="shared" si="1680"/>
        <v>0.541908808133055</v>
      </c>
      <c r="CI464" s="255">
        <f t="shared" si="1680"/>
        <v>0.504159461605102</v>
      </c>
      <c r="CJ464" s="254">
        <f t="shared" si="1680"/>
        <v>0.562545223378316</v>
      </c>
      <c r="CK464" s="255">
        <f t="shared" si="1680"/>
        <v>0.431358518413696</v>
      </c>
      <c r="CL464" s="255">
        <f t="shared" si="1680"/>
        <v>0.182762264386791</v>
      </c>
      <c r="CM464" s="255">
        <f t="shared" ref="CM464:CT464" si="1681">(CM461/CC461)^(1/2)-1</f>
        <v>0.26667045229008</v>
      </c>
      <c r="CN464" s="255">
        <f t="shared" si="1681"/>
        <v>0.263423211932762</v>
      </c>
      <c r="CO464" s="254">
        <f t="shared" si="1681"/>
        <v>0.272723552712954</v>
      </c>
      <c r="CP464" s="255">
        <f t="shared" si="1681"/>
        <v>0.237627819541403</v>
      </c>
      <c r="CQ464" s="255">
        <f t="shared" si="1681"/>
        <v>0.223058580826467</v>
      </c>
      <c r="CR464" s="255">
        <f t="shared" si="1681"/>
        <v>0.244314121723071</v>
      </c>
      <c r="CS464" s="255">
        <f t="shared" si="1681"/>
        <v>0.263455249294318</v>
      </c>
      <c r="CT464" s="254">
        <f t="shared" si="1681"/>
        <v>0.24575548720487</v>
      </c>
      <c r="CU464" s="255"/>
      <c r="CV464" s="255"/>
      <c r="CW464" s="255"/>
      <c r="CX464" s="255"/>
      <c r="CY464" s="254"/>
      <c r="CZ464" s="255"/>
      <c r="DA464" s="255"/>
      <c r="DB464" s="255"/>
      <c r="DC464" s="255"/>
      <c r="DD464" s="254"/>
      <c r="DE464" s="255"/>
      <c r="DF464" s="255"/>
      <c r="DG464" s="255"/>
      <c r="DH464" s="255"/>
      <c r="DI464" s="254"/>
      <c r="DJ464" s="255"/>
      <c r="DK464" s="255"/>
      <c r="DL464" s="255"/>
      <c r="DM464" s="255"/>
      <c r="DN464" s="254"/>
      <c r="DO464" s="255"/>
      <c r="DP464" s="255"/>
      <c r="DQ464" s="255"/>
      <c r="DR464" s="255"/>
      <c r="DS464" s="254"/>
    </row>
    <row r="465" hidden="1" outlineLevel="1" spans="2:123">
      <c r="B465" s="149" t="s">
        <v>287</v>
      </c>
      <c r="C465" s="252"/>
      <c r="D465" s="253"/>
      <c r="E465" s="253"/>
      <c r="F465" s="253"/>
      <c r="G465" s="253"/>
      <c r="H465" s="252"/>
      <c r="I465" s="253"/>
      <c r="J465" s="253"/>
      <c r="K465" s="253"/>
      <c r="L465" s="253"/>
      <c r="M465" s="252"/>
      <c r="N465" s="253"/>
      <c r="O465" s="253"/>
      <c r="P465" s="253"/>
      <c r="Q465" s="253"/>
      <c r="R465" s="252"/>
      <c r="S465" s="253"/>
      <c r="T465" s="253"/>
      <c r="U465" s="253"/>
      <c r="V465" s="253"/>
      <c r="W465" s="252"/>
      <c r="X465" s="253"/>
      <c r="Y465" s="253"/>
      <c r="Z465" s="253"/>
      <c r="AA465" s="253"/>
      <c r="AB465" s="252"/>
      <c r="AC465" s="253"/>
      <c r="AD465" s="253"/>
      <c r="AE465" s="253"/>
      <c r="AF465" s="253"/>
      <c r="AG465" s="252"/>
      <c r="AH465" s="253"/>
      <c r="AI465" s="253"/>
      <c r="AJ465" s="253"/>
      <c r="AK465" s="253"/>
      <c r="AL465" s="252"/>
      <c r="AM465" s="253"/>
      <c r="AN465" s="253"/>
      <c r="AO465" s="253"/>
      <c r="AP465" s="253"/>
      <c r="AQ465" s="252"/>
      <c r="AR465" s="253"/>
      <c r="AS465" s="253"/>
      <c r="AT465" s="151"/>
      <c r="AU465" s="151"/>
      <c r="AV465" s="150"/>
      <c r="AW465" s="255">
        <f>(1+AW462)/(1+AW466)-1</f>
        <v>0.260296718173898</v>
      </c>
      <c r="AX465" s="255">
        <f>(1+AX462)/(1+AX466)-1</f>
        <v>0.2988298667871</v>
      </c>
      <c r="AY465" s="255">
        <f>(1+AY462)/(1+AY466)-1</f>
        <v>0.271565539409424</v>
      </c>
      <c r="AZ465" s="255">
        <f>(1+AZ462)/(1+AZ466)-1</f>
        <v>0.207237181302563</v>
      </c>
      <c r="BA465" s="254">
        <f>SUMPRODUCT(AW465:AZ465,AR$461:AU$461)/AV$461</f>
        <v>0.250463373433777</v>
      </c>
      <c r="BB465" s="255">
        <f>(1+BB462)/(1+BB466)-1</f>
        <v>0.320532836167783</v>
      </c>
      <c r="BC465" s="255">
        <f>(1+BC462)/(1+BC466)-1</f>
        <v>0.363265644426026</v>
      </c>
      <c r="BD465" s="255">
        <f>(1+BD462)/(1+BD466)-1</f>
        <v>0.217978303270189</v>
      </c>
      <c r="BE465" s="255">
        <f>(1+BE462)/(1+BE466)-1</f>
        <v>0.345162031716847</v>
      </c>
      <c r="BF465" s="254">
        <f>SUMPRODUCT(BB465:BE465,AW$461:AZ$461)/BA$461</f>
        <v>0.313110320269924</v>
      </c>
      <c r="BG465" s="255">
        <f>(1+BG462)/(1+BG466)-1</f>
        <v>0.178338456544014</v>
      </c>
      <c r="BH465" s="255">
        <f>(1+BH462)/(1+BH466)-1</f>
        <v>0.073478741008745</v>
      </c>
      <c r="BI465" s="255">
        <f>(1+BI462)/(1+BI466)-1</f>
        <v>0.164368073435576</v>
      </c>
      <c r="BJ465" s="255">
        <f>(1+BJ462)/(1+BJ466)-1</f>
        <v>0.122942864953526</v>
      </c>
      <c r="BK465" s="254">
        <f>SUMPRODUCT(BG465:BJ465,BB$461:BE$461)/BF$461</f>
        <v>0.133566610630305</v>
      </c>
      <c r="BL465" s="255">
        <f>(1+BL462)/(1+BL466)-1</f>
        <v>-0.00351556894819915</v>
      </c>
      <c r="BM465" s="255">
        <f>(1+BM462)/(1+BM466)-1</f>
        <v>0.303912922160105</v>
      </c>
      <c r="BN465" s="255">
        <f>(1+BN462)/(1+BN466)-1</f>
        <v>0.248711009372115</v>
      </c>
      <c r="BO465" s="255">
        <f>BO462-BO466</f>
        <v>0.417170209787656</v>
      </c>
      <c r="BP465" s="254">
        <f>SUMPRODUCT(BL465:BO465,BG$461:BJ$461)/BK$461</f>
        <v>0.266128708084928</v>
      </c>
      <c r="BQ465" s="151">
        <v>0.6</v>
      </c>
      <c r="BR465" s="154">
        <v>0.47</v>
      </c>
      <c r="BS465" s="154">
        <v>0.46</v>
      </c>
      <c r="BT465" s="154">
        <f>BT462-BT466</f>
        <v>0.477868213771491</v>
      </c>
      <c r="BU465" s="254">
        <f>SUMPRODUCT(BQ465:BT465,BL$461:BO$461)/BP$461</f>
        <v>0.492827804353585</v>
      </c>
      <c r="BV465" s="154">
        <v>0.35</v>
      </c>
      <c r="BW465" s="154">
        <v>0.31</v>
      </c>
      <c r="BX465" s="154">
        <v>0.3</v>
      </c>
      <c r="BY465" s="154">
        <f>(1+BY462)/(1+BY466)-1</f>
        <v>0.346652685026768</v>
      </c>
      <c r="BZ465" s="254">
        <f>SUMPRODUCT(BV465:BY465,BQ$461:BT$461)/BU$461</f>
        <v>0.329837015751185</v>
      </c>
      <c r="CA465" s="459">
        <v>0.7</v>
      </c>
      <c r="CB465" s="459">
        <v>1.57</v>
      </c>
      <c r="CC465" s="154">
        <v>0.93</v>
      </c>
      <c r="CD465" s="154">
        <v>0.92</v>
      </c>
      <c r="CE465" s="254">
        <f>SUMPRODUCT(CA465:CD465,BV$461:BY$461)/BZ$461</f>
        <v>1.00592585561356</v>
      </c>
      <c r="CF465" s="459">
        <v>0.5</v>
      </c>
      <c r="CG465" s="460">
        <v>0.04</v>
      </c>
      <c r="CH465" s="459">
        <v>0.21</v>
      </c>
      <c r="CI465" s="459">
        <v>0.16</v>
      </c>
      <c r="CJ465" s="254">
        <f>SUMPRODUCT(CF465:CI465,CA$461:CD$461)/CE$461</f>
        <v>0.193751363794773</v>
      </c>
      <c r="CK465" s="154">
        <v>0.33</v>
      </c>
      <c r="CL465" s="154">
        <v>0.32</v>
      </c>
      <c r="CM465" s="154">
        <v>0.34</v>
      </c>
      <c r="CN465" s="154">
        <v>0.39</v>
      </c>
      <c r="CO465" s="254">
        <f>SUMPRODUCT(CK465:CN465,CF$461:CI$461)/CJ$461</f>
        <v>0.352615491888965</v>
      </c>
      <c r="CP465" s="154">
        <v>0.18</v>
      </c>
      <c r="CQ465" s="154">
        <v>0.17</v>
      </c>
      <c r="CR465" s="154">
        <v>0.19</v>
      </c>
      <c r="CS465" s="154">
        <v>0.17</v>
      </c>
      <c r="CT465" s="254">
        <f>SUMPRODUCT(CP465:CS465,CK$461:CN$461)/CO$461</f>
        <v>0.176097520103163</v>
      </c>
      <c r="CU465" s="153"/>
      <c r="CV465" s="153"/>
      <c r="CW465" s="153"/>
      <c r="CX465" s="153"/>
      <c r="CY465" s="254"/>
      <c r="CZ465" s="153"/>
      <c r="DA465" s="153"/>
      <c r="DB465" s="461"/>
      <c r="DC465" s="461"/>
      <c r="DD465" s="254"/>
      <c r="DE465" s="461"/>
      <c r="DF465" s="461"/>
      <c r="DG465" s="461"/>
      <c r="DH465" s="461"/>
      <c r="DI465" s="254"/>
      <c r="DJ465" s="461"/>
      <c r="DK465" s="461"/>
      <c r="DL465" s="461"/>
      <c r="DM465" s="461"/>
      <c r="DN465" s="254"/>
      <c r="DO465" s="461"/>
      <c r="DP465" s="461"/>
      <c r="DQ465" s="461"/>
      <c r="DR465" s="461"/>
      <c r="DS465" s="254"/>
    </row>
    <row r="466" hidden="1" outlineLevel="1" spans="2:123">
      <c r="B466" s="149" t="s">
        <v>288</v>
      </c>
      <c r="C466" s="252"/>
      <c r="D466" s="253"/>
      <c r="E466" s="253"/>
      <c r="F466" s="253"/>
      <c r="G466" s="253"/>
      <c r="H466" s="252"/>
      <c r="I466" s="253"/>
      <c r="J466" s="253"/>
      <c r="K466" s="253"/>
      <c r="L466" s="253"/>
      <c r="M466" s="252"/>
      <c r="N466" s="253"/>
      <c r="O466" s="253"/>
      <c r="P466" s="253"/>
      <c r="Q466" s="253"/>
      <c r="R466" s="252"/>
      <c r="S466" s="253"/>
      <c r="T466" s="253"/>
      <c r="U466" s="253"/>
      <c r="V466" s="253"/>
      <c r="W466" s="252"/>
      <c r="X466" s="253"/>
      <c r="Y466" s="253"/>
      <c r="Z466" s="253"/>
      <c r="AA466" s="253"/>
      <c r="AB466" s="252"/>
      <c r="AC466" s="253"/>
      <c r="AD466" s="253"/>
      <c r="AE466" s="253"/>
      <c r="AF466" s="253"/>
      <c r="AG466" s="252"/>
      <c r="AH466" s="253"/>
      <c r="AI466" s="253"/>
      <c r="AJ466" s="253"/>
      <c r="AK466" s="253"/>
      <c r="AL466" s="252"/>
      <c r="AM466" s="253"/>
      <c r="AN466" s="253"/>
      <c r="AO466" s="253"/>
      <c r="AP466" s="253"/>
      <c r="AQ466" s="252"/>
      <c r="AR466" s="253"/>
      <c r="AS466" s="253"/>
      <c r="AT466" s="151"/>
      <c r="AU466" s="151"/>
      <c r="AV466" s="150"/>
      <c r="AW466" s="154">
        <v>-0.03</v>
      </c>
      <c r="AX466" s="154">
        <v>-0.01</v>
      </c>
      <c r="AY466" s="154">
        <v>-0.02</v>
      </c>
      <c r="AZ466" s="154">
        <v>-0.03</v>
      </c>
      <c r="BA466" s="254">
        <f>SUMPRODUCT(AW466:AZ466,AR$461:AU$461)/AV$461</f>
        <v>-0.0238908253288886</v>
      </c>
      <c r="BB466" s="154">
        <v>-0.04</v>
      </c>
      <c r="BC466" s="154">
        <v>-0.05</v>
      </c>
      <c r="BD466" s="154">
        <v>-0.05</v>
      </c>
      <c r="BE466" s="154">
        <v>-0.05</v>
      </c>
      <c r="BF466" s="254">
        <f>SUMPRODUCT(BB466:BE466,AW$461:AZ$461)/BA$461</f>
        <v>-0.0479458678547966</v>
      </c>
      <c r="BG466" s="154">
        <v>-0.01</v>
      </c>
      <c r="BH466" s="154">
        <v>-0.01</v>
      </c>
      <c r="BI466" s="154">
        <v>0</v>
      </c>
      <c r="BJ466" s="154">
        <v>0</v>
      </c>
      <c r="BK466" s="254">
        <f>SUMPRODUCT(BG466:BJ466,BB$461:BE$461)/BF$461</f>
        <v>-0.00413112508561111</v>
      </c>
      <c r="BL466" s="154">
        <v>0</v>
      </c>
      <c r="BM466" s="154">
        <v>-0.008</v>
      </c>
      <c r="BN466" s="154">
        <v>0.01</v>
      </c>
      <c r="BO466" s="151">
        <v>0.02</v>
      </c>
      <c r="BP466" s="254">
        <f>SUMPRODUCT(BL466:BO466,BG$461:BJ$461)/BK$461</f>
        <v>0.00800181342063637</v>
      </c>
      <c r="BQ466" s="151">
        <f>BQ462-BQ465</f>
        <v>0.0232784423438898</v>
      </c>
      <c r="BR466" s="151">
        <f>BR462-BR465</f>
        <v>0.010773823740148</v>
      </c>
      <c r="BS466" s="154">
        <f>BS462-BS465</f>
        <v>-0.0163839275504838</v>
      </c>
      <c r="BT466" s="154">
        <v>-0.02</v>
      </c>
      <c r="BU466" s="254">
        <f>SUMPRODUCT(BQ466:BT466,BL$461:BO$461)/BP$461</f>
        <v>-0.00587072558012309</v>
      </c>
      <c r="BV466" s="154">
        <v>-0.02</v>
      </c>
      <c r="BW466" s="154">
        <v>-0.01</v>
      </c>
      <c r="BX466" s="154">
        <v>-0.01</v>
      </c>
      <c r="BY466" s="154">
        <v>0</v>
      </c>
      <c r="BZ466" s="254">
        <f>SUMPRODUCT(BV466:BY466,BQ$461:BT$461)/BU$461</f>
        <v>-0.00782919371815531</v>
      </c>
      <c r="CA466" s="154">
        <v>-0.02</v>
      </c>
      <c r="CB466" s="154">
        <v>-0.02</v>
      </c>
      <c r="CC466" s="154">
        <v>0.01</v>
      </c>
      <c r="CD466" s="154">
        <v>0.02</v>
      </c>
      <c r="CE466" s="254">
        <f>SUMPRODUCT(CA466:CD466,BV$461:BY$461)/BZ$461</f>
        <v>0.00280317811879274</v>
      </c>
      <c r="CF466" s="154">
        <v>0.05</v>
      </c>
      <c r="CG466" s="154">
        <v>0.04</v>
      </c>
      <c r="CH466" s="154">
        <v>0.02</v>
      </c>
      <c r="CI466" s="154">
        <v>-0.01</v>
      </c>
      <c r="CJ466" s="254">
        <f>SUMPRODUCT(CF466:CI466,CA$461:CD$461)/CE$461</f>
        <v>0.0176634627340342</v>
      </c>
      <c r="CK466" s="154">
        <v>-0.01</v>
      </c>
      <c r="CL466" s="154">
        <v>-0.02</v>
      </c>
      <c r="CM466" s="154">
        <v>-0.03</v>
      </c>
      <c r="CN466" s="154">
        <v>-0.02</v>
      </c>
      <c r="CO466" s="254">
        <f>SUMPRODUCT(CK466:CN466,CF$461:CI$461)/CJ$461</f>
        <v>-0.0201491210765948</v>
      </c>
      <c r="CP466" s="154">
        <v>-0.02</v>
      </c>
      <c r="CQ466" s="154">
        <v>-0.02</v>
      </c>
      <c r="CR466" s="154">
        <v>0.01</v>
      </c>
      <c r="CS466" s="154">
        <v>0</v>
      </c>
      <c r="CT466" s="254">
        <f>SUMPRODUCT(CP466:CS466,CK$461:CN$461)/CO$461</f>
        <v>-0.00601656958460627</v>
      </c>
      <c r="CU466" s="153"/>
      <c r="CV466" s="153"/>
      <c r="CW466" s="153"/>
      <c r="CX466" s="153"/>
      <c r="CY466" s="254"/>
      <c r="CZ466" s="153"/>
      <c r="DA466" s="153"/>
      <c r="DB466" s="461"/>
      <c r="DC466" s="461"/>
      <c r="DD466" s="254"/>
      <c r="DE466" s="461"/>
      <c r="DF466" s="461"/>
      <c r="DG466" s="461"/>
      <c r="DH466" s="461"/>
      <c r="DI466" s="254"/>
      <c r="DJ466" s="461"/>
      <c r="DK466" s="461"/>
      <c r="DL466" s="461"/>
      <c r="DM466" s="461"/>
      <c r="DN466" s="254"/>
      <c r="DO466" s="461"/>
      <c r="DP466" s="461"/>
      <c r="DQ466" s="461"/>
      <c r="DR466" s="461"/>
      <c r="DS466" s="254"/>
    </row>
    <row r="467" hidden="1" outlineLevel="1" spans="2:123">
      <c r="B467" s="149" t="s">
        <v>471</v>
      </c>
      <c r="C467" s="252"/>
      <c r="D467" s="253"/>
      <c r="E467" s="253"/>
      <c r="F467" s="253"/>
      <c r="G467" s="253"/>
      <c r="H467" s="252"/>
      <c r="I467" s="253"/>
      <c r="J467" s="253"/>
      <c r="K467" s="253"/>
      <c r="L467" s="253"/>
      <c r="M467" s="252"/>
      <c r="N467" s="253"/>
      <c r="O467" s="253"/>
      <c r="P467" s="253"/>
      <c r="Q467" s="253"/>
      <c r="R467" s="252"/>
      <c r="S467" s="253"/>
      <c r="T467" s="253"/>
      <c r="U467" s="253"/>
      <c r="V467" s="253"/>
      <c r="W467" s="252"/>
      <c r="X467" s="436">
        <f t="shared" ref="X467:CI467" si="1682">X461/X13</f>
        <v>0.0106390793339863</v>
      </c>
      <c r="Y467" s="436">
        <f t="shared" si="1682"/>
        <v>0.0286530019136112</v>
      </c>
      <c r="Z467" s="436">
        <f t="shared" si="1682"/>
        <v>0.0372040286648183</v>
      </c>
      <c r="AA467" s="436">
        <f t="shared" si="1682"/>
        <v>0.0523019065290213</v>
      </c>
      <c r="AB467" s="462">
        <f t="shared" si="1682"/>
        <v>0.0359219956811467</v>
      </c>
      <c r="AC467" s="436">
        <f t="shared" si="1682"/>
        <v>0.0660014317013384</v>
      </c>
      <c r="AD467" s="436">
        <f t="shared" si="1682"/>
        <v>0.0630715862503942</v>
      </c>
      <c r="AE467" s="436">
        <f t="shared" si="1682"/>
        <v>0.0762229806598407</v>
      </c>
      <c r="AF467" s="436">
        <f t="shared" si="1682"/>
        <v>0.100244907273461</v>
      </c>
      <c r="AG467" s="462">
        <f t="shared" si="1682"/>
        <v>0.079707013027888</v>
      </c>
      <c r="AH467" s="436">
        <f t="shared" si="1682"/>
        <v>0.074</v>
      </c>
      <c r="AI467" s="436">
        <f t="shared" si="1682"/>
        <v>0.0876023793936597</v>
      </c>
      <c r="AJ467" s="436">
        <f t="shared" si="1682"/>
        <v>0.10381554713834</v>
      </c>
      <c r="AK467" s="436">
        <f t="shared" si="1682"/>
        <v>0.13485142118863</v>
      </c>
      <c r="AL467" s="462">
        <f t="shared" si="1682"/>
        <v>0.106332507026605</v>
      </c>
      <c r="AM467" s="436">
        <f t="shared" si="1682"/>
        <v>0.134572170613725</v>
      </c>
      <c r="AN467" s="436">
        <f t="shared" si="1682"/>
        <v>0.125328162924489</v>
      </c>
      <c r="AO467" s="436">
        <f t="shared" si="1682"/>
        <v>0.142548896337553</v>
      </c>
      <c r="AP467" s="436">
        <f t="shared" si="1682"/>
        <v>0.161268729725555</v>
      </c>
      <c r="AQ467" s="462">
        <f t="shared" si="1682"/>
        <v>0.143966625656563</v>
      </c>
      <c r="AR467" s="436">
        <f t="shared" si="1682"/>
        <v>0.156072323024333</v>
      </c>
      <c r="AS467" s="436">
        <f t="shared" si="1682"/>
        <v>0.143344373071553</v>
      </c>
      <c r="AT467" s="154">
        <f t="shared" si="1682"/>
        <v>0.163079757831008</v>
      </c>
      <c r="AU467" s="154">
        <f t="shared" si="1682"/>
        <v>0.187676225976165</v>
      </c>
      <c r="AV467" s="155">
        <f t="shared" si="1682"/>
        <v>0.165337471122206</v>
      </c>
      <c r="AW467" s="154">
        <f t="shared" si="1682"/>
        <v>0.171531233587612</v>
      </c>
      <c r="AX467" s="154">
        <f t="shared" si="1682"/>
        <v>0.162517563413841</v>
      </c>
      <c r="AY467" s="154">
        <f t="shared" si="1682"/>
        <v>0.18408139324171</v>
      </c>
      <c r="AZ467" s="154">
        <f t="shared" si="1682"/>
        <v>0.190051272347623</v>
      </c>
      <c r="BA467" s="391">
        <f t="shared" si="1682"/>
        <v>0.178708665097568</v>
      </c>
      <c r="BB467" s="154">
        <f t="shared" si="1682"/>
        <v>0.197467087244773</v>
      </c>
      <c r="BC467" s="154">
        <f t="shared" si="1682"/>
        <v>0.181539038873314</v>
      </c>
      <c r="BD467" s="154">
        <f t="shared" si="1682"/>
        <v>0.186223271967696</v>
      </c>
      <c r="BE467" s="154">
        <f t="shared" si="1682"/>
        <v>0.207759457939785</v>
      </c>
      <c r="BF467" s="391">
        <f t="shared" si="1682"/>
        <v>0.194865575390326</v>
      </c>
      <c r="BG467" s="154">
        <f t="shared" si="1682"/>
        <v>0.196897779284625</v>
      </c>
      <c r="BH467" s="154">
        <f t="shared" si="1682"/>
        <v>0.169865117002255</v>
      </c>
      <c r="BI467" s="154">
        <f t="shared" si="1682"/>
        <v>0.191054267324987</v>
      </c>
      <c r="BJ467" s="154">
        <f t="shared" si="1682"/>
        <v>0.208001873560017</v>
      </c>
      <c r="BK467" s="391">
        <f t="shared" si="1682"/>
        <v>0.193349491040747</v>
      </c>
      <c r="BL467" s="154">
        <f t="shared" si="1682"/>
        <v>0.186856990200017</v>
      </c>
      <c r="BM467" s="154">
        <f t="shared" si="1682"/>
        <v>0.194558509191917</v>
      </c>
      <c r="BN467" s="154">
        <f t="shared" si="1682"/>
        <v>0.211912431304258</v>
      </c>
      <c r="BO467" s="154">
        <f t="shared" si="1682"/>
        <v>0.254247507482935</v>
      </c>
      <c r="BP467" s="391">
        <f t="shared" si="1682"/>
        <v>0.218027499127087</v>
      </c>
      <c r="BQ467" s="154">
        <f t="shared" si="1682"/>
        <v>0.242927069544069</v>
      </c>
      <c r="BR467" s="154">
        <f t="shared" si="1682"/>
        <v>0.231375259156876</v>
      </c>
      <c r="BS467" s="154">
        <f t="shared" si="1682"/>
        <v>0.253291959526787</v>
      </c>
      <c r="BT467" s="154">
        <f t="shared" si="1682"/>
        <v>0.294869225287451</v>
      </c>
      <c r="BU467" s="391">
        <f t="shared" si="1682"/>
        <v>0.261183905819356</v>
      </c>
      <c r="BV467" s="154">
        <f t="shared" si="1682"/>
        <v>0.268234662508069</v>
      </c>
      <c r="BW467" s="154">
        <f t="shared" si="1682"/>
        <v>0.246375170939784</v>
      </c>
      <c r="BX467" s="154">
        <f t="shared" si="1682"/>
        <v>0.26929374522432</v>
      </c>
      <c r="BY467" s="154">
        <f t="shared" si="1682"/>
        <v>0.331735241502683</v>
      </c>
      <c r="BZ467" s="391">
        <f t="shared" si="1682"/>
        <v>0.285927031284908</v>
      </c>
      <c r="CA467" s="154">
        <f t="shared" si="1682"/>
        <v>0.539968587126244</v>
      </c>
      <c r="CB467" s="154">
        <f t="shared" si="1682"/>
        <v>0.613884215877263</v>
      </c>
      <c r="CC467" s="154">
        <f t="shared" si="1682"/>
        <v>0.428004181037492</v>
      </c>
      <c r="CD467" s="154">
        <f t="shared" si="1682"/>
        <v>0.52005721712906</v>
      </c>
      <c r="CE467" s="391">
        <f t="shared" si="1682"/>
        <v>0.518884776251233</v>
      </c>
      <c r="CF467" s="154">
        <f t="shared" si="1682"/>
        <v>0.444444082069278</v>
      </c>
      <c r="CG467" s="154">
        <f t="shared" si="1682"/>
        <v>0.4118424009629</v>
      </c>
      <c r="CH467" s="154">
        <f t="shared" si="1682"/>
        <v>0.404382589606742</v>
      </c>
      <c r="CI467" s="154">
        <f t="shared" si="1682"/>
        <v>0.49264572575668</v>
      </c>
      <c r="CJ467" s="391">
        <f t="shared" ref="CJ467:CT467" si="1683">CJ461/CJ13</f>
        <v>0.444000967295904</v>
      </c>
      <c r="CK467" s="154">
        <f t="shared" si="1683"/>
        <v>0.447021716643022</v>
      </c>
      <c r="CL467" s="154">
        <f t="shared" si="1683"/>
        <v>0.415036867188202</v>
      </c>
      <c r="CM467" s="154">
        <f t="shared" si="1683"/>
        <v>0.413245487479327</v>
      </c>
      <c r="CN467" s="154">
        <f t="shared" si="1683"/>
        <v>0.517981931122959</v>
      </c>
      <c r="CO467" s="391">
        <f t="shared" si="1683"/>
        <v>0.456171973232782</v>
      </c>
      <c r="CP467" s="154">
        <f t="shared" si="1683"/>
        <v>0.417305746924218</v>
      </c>
      <c r="CQ467" s="154">
        <f t="shared" si="1683"/>
        <v>0.40452976577123</v>
      </c>
      <c r="CR467" s="154">
        <f t="shared" si="1683"/>
        <v>0.411995093044336</v>
      </c>
      <c r="CS467" s="154">
        <f t="shared" si="1683"/>
        <v>0.522406924208052</v>
      </c>
      <c r="CT467" s="391">
        <f t="shared" si="1683"/>
        <v>0.448173968981872</v>
      </c>
      <c r="CU467" s="154"/>
      <c r="CV467" s="154"/>
      <c r="CW467" s="154"/>
      <c r="CX467" s="154"/>
      <c r="CY467" s="391"/>
      <c r="CZ467" s="154"/>
      <c r="DA467" s="154"/>
      <c r="DB467" s="154"/>
      <c r="DC467" s="154"/>
      <c r="DD467" s="391"/>
      <c r="DE467" s="154"/>
      <c r="DF467" s="154"/>
      <c r="DG467" s="154"/>
      <c r="DH467" s="154"/>
      <c r="DI467" s="391"/>
      <c r="DJ467" s="154"/>
      <c r="DK467" s="154"/>
      <c r="DL467" s="154"/>
      <c r="DM467" s="154"/>
      <c r="DN467" s="391"/>
      <c r="DO467" s="154"/>
      <c r="DP467" s="154"/>
      <c r="DQ467" s="154"/>
      <c r="DR467" s="154"/>
      <c r="DS467" s="391"/>
    </row>
    <row r="468" hidden="1" outlineLevel="1" spans="2:123">
      <c r="B468" s="149" t="s">
        <v>472</v>
      </c>
      <c r="C468" s="252"/>
      <c r="D468" s="253"/>
      <c r="E468" s="253"/>
      <c r="F468" s="253"/>
      <c r="G468" s="253"/>
      <c r="H468" s="252"/>
      <c r="I468" s="253"/>
      <c r="J468" s="253"/>
      <c r="K468" s="253"/>
      <c r="L468" s="253"/>
      <c r="M468" s="252"/>
      <c r="N468" s="253"/>
      <c r="O468" s="253"/>
      <c r="P468" s="253"/>
      <c r="Q468" s="253"/>
      <c r="R468" s="252"/>
      <c r="S468" s="253"/>
      <c r="T468" s="253"/>
      <c r="U468" s="253"/>
      <c r="V468" s="253"/>
      <c r="W468" s="252"/>
      <c r="X468" s="436"/>
      <c r="Y468" s="436"/>
      <c r="Z468" s="436"/>
      <c r="AA468" s="436"/>
      <c r="AB468" s="462"/>
      <c r="AC468" s="436"/>
      <c r="AD468" s="436"/>
      <c r="AE468" s="436"/>
      <c r="AF468" s="436"/>
      <c r="AG468" s="462"/>
      <c r="AH468" s="436"/>
      <c r="AI468" s="436"/>
      <c r="AJ468" s="436"/>
      <c r="AK468" s="436"/>
      <c r="AL468" s="462"/>
      <c r="AM468" s="436"/>
      <c r="AN468" s="436"/>
      <c r="AO468" s="436"/>
      <c r="AP468" s="436"/>
      <c r="AQ468" s="462"/>
      <c r="AR468" s="436"/>
      <c r="AS468" s="436"/>
      <c r="AT468" s="154"/>
      <c r="AU468" s="154"/>
      <c r="AV468" s="155"/>
      <c r="AW468" s="154"/>
      <c r="AX468" s="154"/>
      <c r="AY468" s="154"/>
      <c r="AZ468" s="154"/>
      <c r="BA468" s="391"/>
      <c r="BB468" s="154"/>
      <c r="BC468" s="154"/>
      <c r="BD468" s="154"/>
      <c r="BE468" s="154"/>
      <c r="BF468" s="391"/>
      <c r="BG468" s="154"/>
      <c r="BH468" s="154"/>
      <c r="BI468" s="154"/>
      <c r="BJ468" s="154"/>
      <c r="BK468" s="391"/>
      <c r="BL468" s="154"/>
      <c r="BM468" s="154"/>
      <c r="BN468" s="154"/>
      <c r="BO468" s="154"/>
      <c r="BP468" s="391"/>
      <c r="BQ468" s="154"/>
      <c r="BR468" s="154"/>
      <c r="BS468" s="154"/>
      <c r="BT468" s="154">
        <v>0.39</v>
      </c>
      <c r="BU468" s="391"/>
      <c r="BV468" s="154"/>
      <c r="BW468" s="154"/>
      <c r="BX468" s="154"/>
      <c r="BY468" s="154">
        <v>0.41</v>
      </c>
      <c r="BZ468" s="391"/>
      <c r="CA468" s="154"/>
      <c r="CB468" s="154"/>
      <c r="CC468" s="154"/>
      <c r="CD468" s="154"/>
      <c r="CE468" s="391"/>
      <c r="CF468" s="154"/>
      <c r="CG468" s="154"/>
      <c r="CH468" s="154"/>
      <c r="CI468" s="154"/>
      <c r="CJ468" s="391"/>
      <c r="CK468" s="154"/>
      <c r="CL468" s="154"/>
      <c r="CM468" s="154"/>
      <c r="CN468" s="154"/>
      <c r="CO468" s="391"/>
      <c r="CP468" s="154"/>
      <c r="CQ468" s="154"/>
      <c r="CR468" s="154"/>
      <c r="CS468" s="154"/>
      <c r="CT468" s="391"/>
      <c r="CU468" s="154"/>
      <c r="CV468" s="154"/>
      <c r="CW468" s="154"/>
      <c r="CX468" s="154"/>
      <c r="CY468" s="391"/>
      <c r="CZ468" s="154"/>
      <c r="DA468" s="154"/>
      <c r="DB468" s="154"/>
      <c r="DC468" s="154"/>
      <c r="DD468" s="391"/>
      <c r="DE468" s="154"/>
      <c r="DF468" s="154"/>
      <c r="DG468" s="154"/>
      <c r="DH468" s="154"/>
      <c r="DI468" s="391"/>
      <c r="DJ468" s="154"/>
      <c r="DK468" s="154"/>
      <c r="DL468" s="154"/>
      <c r="DM468" s="154"/>
      <c r="DN468" s="391"/>
      <c r="DO468" s="154"/>
      <c r="DP468" s="154"/>
      <c r="DQ468" s="154"/>
      <c r="DR468" s="154"/>
      <c r="DS468" s="391"/>
    </row>
    <row r="469" hidden="1" outlineLevel="1" spans="2:123">
      <c r="B469" s="432"/>
      <c r="C469" s="246"/>
      <c r="D469" s="247"/>
      <c r="E469" s="247"/>
      <c r="F469" s="247"/>
      <c r="G469" s="247"/>
      <c r="H469" s="246"/>
      <c r="I469" s="247"/>
      <c r="J469" s="247"/>
      <c r="K469" s="247"/>
      <c r="L469" s="247"/>
      <c r="M469" s="246"/>
      <c r="N469" s="247"/>
      <c r="O469" s="247"/>
      <c r="P469" s="247"/>
      <c r="Q469" s="247"/>
      <c r="R469" s="246"/>
      <c r="S469" s="247"/>
      <c r="T469" s="247"/>
      <c r="U469" s="247"/>
      <c r="V469" s="247"/>
      <c r="W469" s="246"/>
      <c r="X469" s="247"/>
      <c r="Y469" s="247"/>
      <c r="Z469" s="247"/>
      <c r="AA469" s="247"/>
      <c r="AB469" s="246"/>
      <c r="AC469" s="247"/>
      <c r="AD469" s="247"/>
      <c r="AE469" s="247"/>
      <c r="AF469" s="247"/>
      <c r="AG469" s="246"/>
      <c r="AH469" s="247"/>
      <c r="AI469" s="247"/>
      <c r="AJ469" s="247"/>
      <c r="AK469" s="247"/>
      <c r="AL469" s="246"/>
      <c r="AM469" s="247"/>
      <c r="AN469" s="247"/>
      <c r="AO469" s="247"/>
      <c r="AP469" s="247"/>
      <c r="AQ469" s="246"/>
      <c r="AR469" s="247"/>
      <c r="AS469" s="247"/>
      <c r="AT469" s="247"/>
      <c r="AU469" s="247"/>
      <c r="AV469" s="246"/>
      <c r="AW469" s="247"/>
      <c r="AX469" s="247"/>
      <c r="AY469" s="247"/>
      <c r="AZ469" s="247"/>
      <c r="BA469" s="246"/>
      <c r="BB469" s="247"/>
      <c r="BC469" s="247"/>
      <c r="BD469" s="247"/>
      <c r="BE469" s="247"/>
      <c r="BF469" s="252"/>
      <c r="BG469" s="247"/>
      <c r="BH469" s="247"/>
      <c r="BI469" s="247"/>
      <c r="BJ469" s="247"/>
      <c r="BK469" s="252"/>
      <c r="BL469" s="253"/>
      <c r="BM469" s="253"/>
      <c r="BN469" s="253"/>
      <c r="BO469" s="253"/>
      <c r="BP469" s="252"/>
      <c r="BQ469" s="253"/>
      <c r="BR469" s="253"/>
      <c r="BS469" s="253"/>
      <c r="BT469" s="253"/>
      <c r="BU469" s="246"/>
      <c r="BV469" s="253"/>
      <c r="BW469" s="253"/>
      <c r="BX469" s="253"/>
      <c r="BY469" s="253"/>
      <c r="BZ469" s="246"/>
      <c r="CA469" s="247"/>
      <c r="CB469" s="247"/>
      <c r="CC469" s="247"/>
      <c r="CD469" s="247"/>
      <c r="CE469" s="246"/>
      <c r="CF469" s="247"/>
      <c r="CG469" s="247"/>
      <c r="CH469" s="247"/>
      <c r="CI469" s="247"/>
      <c r="CJ469" s="246"/>
      <c r="CK469" s="247"/>
      <c r="CL469" s="247"/>
      <c r="CM469" s="247"/>
      <c r="CN469" s="247"/>
      <c r="CO469" s="246"/>
      <c r="CP469" s="247"/>
      <c r="CQ469" s="247"/>
      <c r="CR469" s="247"/>
      <c r="CS469" s="247"/>
      <c r="CT469" s="246"/>
      <c r="CU469" s="247"/>
      <c r="CV469" s="247"/>
      <c r="CW469" s="247"/>
      <c r="CX469" s="247"/>
      <c r="CY469" s="246"/>
      <c r="CZ469" s="247"/>
      <c r="DA469" s="247"/>
      <c r="DB469" s="247"/>
      <c r="DC469" s="247"/>
      <c r="DD469" s="246"/>
      <c r="DE469" s="247"/>
      <c r="DF469" s="247"/>
      <c r="DG469" s="247"/>
      <c r="DH469" s="247"/>
      <c r="DI469" s="246"/>
      <c r="DJ469" s="247"/>
      <c r="DK469" s="247"/>
      <c r="DL469" s="247"/>
      <c r="DM469" s="247"/>
      <c r="DN469" s="246"/>
      <c r="DO469" s="247"/>
      <c r="DP469" s="247"/>
      <c r="DQ469" s="247"/>
      <c r="DR469" s="247"/>
      <c r="DS469" s="246"/>
    </row>
    <row r="470" s="96" customFormat="1" hidden="1" outlineLevel="1" spans="2:123">
      <c r="B470" s="379" t="s">
        <v>60</v>
      </c>
      <c r="C470" s="264"/>
      <c r="D470" s="265"/>
      <c r="E470" s="265"/>
      <c r="F470" s="265"/>
      <c r="G470" s="265"/>
      <c r="H470" s="264"/>
      <c r="I470" s="265"/>
      <c r="J470" s="265"/>
      <c r="K470" s="265"/>
      <c r="L470" s="265"/>
      <c r="M470" s="264"/>
      <c r="N470" s="265"/>
      <c r="O470" s="265"/>
      <c r="P470" s="265"/>
      <c r="Q470" s="265"/>
      <c r="R470" s="264"/>
      <c r="S470" s="265"/>
      <c r="T470" s="265"/>
      <c r="U470" s="265"/>
      <c r="V470" s="265"/>
      <c r="W470" s="264"/>
      <c r="X470" s="265">
        <v>0.365</v>
      </c>
      <c r="Y470" s="265">
        <v>1.199</v>
      </c>
      <c r="Z470" s="265">
        <v>1.811</v>
      </c>
      <c r="AA470" s="265">
        <v>2.913</v>
      </c>
      <c r="AB470" s="264">
        <f>SUM(X470:AA470)</f>
        <v>6.288</v>
      </c>
      <c r="AC470" s="265">
        <v>3.242</v>
      </c>
      <c r="AD470" s="265">
        <v>2.817</v>
      </c>
      <c r="AE470" s="265">
        <v>3.901</v>
      </c>
      <c r="AF470" s="265">
        <v>6.404</v>
      </c>
      <c r="AG470" s="264">
        <f>SUM(AC470:AF470)</f>
        <v>16.364</v>
      </c>
      <c r="AH470" s="265">
        <v>4.291</v>
      </c>
      <c r="AI470" s="265">
        <v>8.178</v>
      </c>
      <c r="AJ470" s="265">
        <v>9.098</v>
      </c>
      <c r="AK470" s="265">
        <v>22.601</v>
      </c>
      <c r="AL470" s="264">
        <f>SUM(AH470:AK470)</f>
        <v>44.168</v>
      </c>
      <c r="AM470" s="271">
        <v>17.057</v>
      </c>
      <c r="AN470" s="271">
        <v>14.085</v>
      </c>
      <c r="AO470" s="271">
        <v>18.373</v>
      </c>
      <c r="AP470" s="271">
        <v>33.432</v>
      </c>
      <c r="AQ470" s="264">
        <f>SUM(AM470:AP470)</f>
        <v>82.947</v>
      </c>
      <c r="AR470" s="271">
        <v>21.216</v>
      </c>
      <c r="AS470" s="271">
        <v>20.633</v>
      </c>
      <c r="AT470" s="271">
        <v>27.98</v>
      </c>
      <c r="AU470" s="271">
        <v>39.74</v>
      </c>
      <c r="AV470" s="264">
        <f>SUM(AR470:AU470)</f>
        <v>109.569</v>
      </c>
      <c r="AW470" s="271">
        <v>27.117</v>
      </c>
      <c r="AX470" s="271">
        <v>24.087</v>
      </c>
      <c r="AY470" s="265">
        <v>32.292</v>
      </c>
      <c r="AZ470" s="271">
        <v>49.381</v>
      </c>
      <c r="BA470" s="264">
        <f>SUM(AW470:AZ470)</f>
        <v>132.877</v>
      </c>
      <c r="BB470" s="271">
        <v>34.871</v>
      </c>
      <c r="BC470" s="271">
        <v>32.25</v>
      </c>
      <c r="BD470" s="271">
        <v>37.985</v>
      </c>
      <c r="BE470" s="271">
        <v>61.312</v>
      </c>
      <c r="BF470" s="264">
        <f>SUM(BB470:BE470)</f>
        <v>166.418</v>
      </c>
      <c r="BG470" s="271">
        <v>38.551</v>
      </c>
      <c r="BH470" s="271">
        <v>32.644</v>
      </c>
      <c r="BI470" s="271">
        <v>43.588</v>
      </c>
      <c r="BJ470" s="271">
        <v>71.395</v>
      </c>
      <c r="BK470" s="264">
        <f>SUM(BG470:BJ470)</f>
        <v>186.178</v>
      </c>
      <c r="BL470" s="271">
        <v>35.442</v>
      </c>
      <c r="BM470" s="265">
        <v>40.139</v>
      </c>
      <c r="BN470" s="271">
        <v>52.201</v>
      </c>
      <c r="BO470" s="271">
        <f>231.295-BN470-BM470-BL470</f>
        <v>103.513</v>
      </c>
      <c r="BP470" s="264">
        <f>SUM(BL470:BO470)</f>
        <v>231.295</v>
      </c>
      <c r="BQ470" s="265">
        <v>62.267</v>
      </c>
      <c r="BR470" s="265">
        <v>67.033</v>
      </c>
      <c r="BS470" s="265">
        <v>76.435</v>
      </c>
      <c r="BT470" s="265">
        <f>354.107-SUM(BQ470:BS470)</f>
        <v>148.372</v>
      </c>
      <c r="BU470" s="264">
        <f>SUM(BQ470:BT470)</f>
        <v>354.107</v>
      </c>
      <c r="BV470" s="265">
        <v>78.675</v>
      </c>
      <c r="BW470" s="265">
        <v>86.081</v>
      </c>
      <c r="BX470" s="265">
        <v>103.282</v>
      </c>
      <c r="BY470" s="265">
        <f>482.368-SUM(BV470:BX470)</f>
        <v>214.33</v>
      </c>
      <c r="BZ470" s="264">
        <f>SUM(BV470:BY470)</f>
        <v>482.368</v>
      </c>
      <c r="CA470" s="265">
        <v>156.947</v>
      </c>
      <c r="CB470" s="265">
        <v>237.595</v>
      </c>
      <c r="CC470" s="265">
        <v>209.61</v>
      </c>
      <c r="CD470" s="265">
        <f>1029.102-CC470-CB470-CA470</f>
        <v>424.95</v>
      </c>
      <c r="CE470" s="264">
        <f>SUM(CA470:CD470)</f>
        <v>1029.102</v>
      </c>
      <c r="CF470" s="265">
        <v>236.933</v>
      </c>
      <c r="CG470" s="265">
        <v>260.248</v>
      </c>
      <c r="CH470" s="265">
        <v>257.05</v>
      </c>
      <c r="CI470" s="265">
        <f>1216.496-CF470-CG470-CH470</f>
        <v>462.265</v>
      </c>
      <c r="CJ470" s="264">
        <f>SUM(CF470:CI470)</f>
        <v>1216.496</v>
      </c>
      <c r="CK470" s="265">
        <v>285.107</v>
      </c>
      <c r="CL470" s="265">
        <v>326.423</v>
      </c>
      <c r="CM470" s="265">
        <v>321.742</v>
      </c>
      <c r="CN470" s="265">
        <f>1562.538-CM470-CL470-CK470</f>
        <v>629.266</v>
      </c>
      <c r="CO470" s="264">
        <f>SUM(CK470:CN470)</f>
        <v>1562.538</v>
      </c>
      <c r="CP470" s="265">
        <v>369.453</v>
      </c>
      <c r="CQ470" s="265">
        <v>383.87</v>
      </c>
      <c r="CR470" s="265">
        <v>384.393</v>
      </c>
      <c r="CS470" s="463">
        <v>750</v>
      </c>
      <c r="CT470" s="464">
        <f>SUM(CP470:CS470)</f>
        <v>1887.716</v>
      </c>
      <c r="CU470" s="265"/>
      <c r="CV470" s="265"/>
      <c r="CW470" s="265"/>
      <c r="CX470" s="265"/>
      <c r="CY470" s="264"/>
      <c r="CZ470" s="265"/>
      <c r="DA470" s="265"/>
      <c r="DB470" s="265"/>
      <c r="DC470" s="265"/>
      <c r="DD470" s="264"/>
      <c r="DE470" s="265"/>
      <c r="DF470" s="265"/>
      <c r="DG470" s="265"/>
      <c r="DH470" s="265"/>
      <c r="DI470" s="264"/>
      <c r="DJ470" s="265"/>
      <c r="DK470" s="265"/>
      <c r="DL470" s="265"/>
      <c r="DM470" s="265"/>
      <c r="DN470" s="264"/>
      <c r="DO470" s="265"/>
      <c r="DP470" s="265"/>
      <c r="DQ470" s="265"/>
      <c r="DR470" s="265"/>
      <c r="DS470" s="264"/>
    </row>
    <row r="471" hidden="1" outlineLevel="1" spans="2:123">
      <c r="B471" s="149" t="s">
        <v>69</v>
      </c>
      <c r="C471" s="252"/>
      <c r="D471" s="253"/>
      <c r="E471" s="253"/>
      <c r="F471" s="253"/>
      <c r="G471" s="253"/>
      <c r="H471" s="252"/>
      <c r="I471" s="253"/>
      <c r="J471" s="253"/>
      <c r="K471" s="253"/>
      <c r="L471" s="253"/>
      <c r="M471" s="252"/>
      <c r="N471" s="253"/>
      <c r="O471" s="253"/>
      <c r="P471" s="253"/>
      <c r="Q471" s="253"/>
      <c r="R471" s="252"/>
      <c r="S471" s="253"/>
      <c r="T471" s="253"/>
      <c r="U471" s="253"/>
      <c r="V471" s="253"/>
      <c r="W471" s="252"/>
      <c r="X471" s="253"/>
      <c r="Y471" s="253"/>
      <c r="Z471" s="253"/>
      <c r="AA471" s="253"/>
      <c r="AB471" s="252"/>
      <c r="AC471" s="255">
        <f t="shared" ref="AC471:BH471" si="1684">AC470/X470-1</f>
        <v>7.88219178082192</v>
      </c>
      <c r="AD471" s="255">
        <f t="shared" si="1684"/>
        <v>1.34945788156797</v>
      </c>
      <c r="AE471" s="255">
        <f t="shared" si="1684"/>
        <v>1.15405853119823</v>
      </c>
      <c r="AF471" s="255">
        <f t="shared" si="1684"/>
        <v>1.19842087195331</v>
      </c>
      <c r="AG471" s="254">
        <f t="shared" si="1684"/>
        <v>1.60241730279898</v>
      </c>
      <c r="AH471" s="255">
        <f t="shared" si="1684"/>
        <v>0.323565700185071</v>
      </c>
      <c r="AI471" s="255">
        <f t="shared" si="1684"/>
        <v>1.90308839190628</v>
      </c>
      <c r="AJ471" s="255">
        <f t="shared" si="1684"/>
        <v>1.33222250704947</v>
      </c>
      <c r="AK471" s="255">
        <f t="shared" si="1684"/>
        <v>2.52920049968769</v>
      </c>
      <c r="AL471" s="254">
        <f t="shared" si="1684"/>
        <v>1.69909557565387</v>
      </c>
      <c r="AM471" s="255">
        <f t="shared" si="1684"/>
        <v>2.97506408762526</v>
      </c>
      <c r="AN471" s="255">
        <f t="shared" si="1684"/>
        <v>0.722303741746148</v>
      </c>
      <c r="AO471" s="255">
        <f t="shared" si="1684"/>
        <v>1.01945482523632</v>
      </c>
      <c r="AP471" s="255">
        <f t="shared" si="1684"/>
        <v>0.479226582894562</v>
      </c>
      <c r="AQ471" s="254">
        <f t="shared" si="1684"/>
        <v>0.877988589023728</v>
      </c>
      <c r="AR471" s="255">
        <f t="shared" si="1684"/>
        <v>0.24382951280999</v>
      </c>
      <c r="AS471" s="255">
        <f t="shared" si="1684"/>
        <v>0.464891728789492</v>
      </c>
      <c r="AT471" s="255">
        <f t="shared" si="1684"/>
        <v>0.522886844826648</v>
      </c>
      <c r="AU471" s="255">
        <f t="shared" si="1684"/>
        <v>0.188681502751854</v>
      </c>
      <c r="AV471" s="254">
        <f t="shared" si="1684"/>
        <v>0.32095193316214</v>
      </c>
      <c r="AW471" s="255">
        <f t="shared" si="1684"/>
        <v>0.278139140271493</v>
      </c>
      <c r="AX471" s="255">
        <f t="shared" si="1684"/>
        <v>0.167401735084573</v>
      </c>
      <c r="AY471" s="255">
        <f t="shared" si="1684"/>
        <v>0.154110078627591</v>
      </c>
      <c r="AZ471" s="255">
        <f t="shared" si="1684"/>
        <v>0.2426019124308</v>
      </c>
      <c r="BA471" s="254">
        <f t="shared" si="1684"/>
        <v>0.212724401975011</v>
      </c>
      <c r="BB471" s="255">
        <f t="shared" si="1684"/>
        <v>0.285946085481432</v>
      </c>
      <c r="BC471" s="255">
        <f t="shared" si="1684"/>
        <v>0.338896500186823</v>
      </c>
      <c r="BD471" s="255">
        <f t="shared" si="1684"/>
        <v>0.176297534993187</v>
      </c>
      <c r="BE471" s="255">
        <f t="shared" si="1684"/>
        <v>0.241611145987323</v>
      </c>
      <c r="BF471" s="254">
        <f t="shared" si="1684"/>
        <v>0.25242141228354</v>
      </c>
      <c r="BG471" s="255">
        <f t="shared" si="1684"/>
        <v>0.105531817269364</v>
      </c>
      <c r="BH471" s="255">
        <f t="shared" si="1684"/>
        <v>0.0122170542635658</v>
      </c>
      <c r="BI471" s="255">
        <f t="shared" ref="BI471:CT471" si="1685">BI470/BD470-1</f>
        <v>0.147505594313545</v>
      </c>
      <c r="BJ471" s="255">
        <f t="shared" si="1685"/>
        <v>0.164453940501044</v>
      </c>
      <c r="BK471" s="254">
        <f t="shared" si="1685"/>
        <v>0.118737155836508</v>
      </c>
      <c r="BL471" s="255">
        <f t="shared" si="1685"/>
        <v>-0.0806464164353714</v>
      </c>
      <c r="BM471" s="255">
        <f t="shared" si="1685"/>
        <v>0.229598088469551</v>
      </c>
      <c r="BN471" s="255">
        <f t="shared" si="1685"/>
        <v>0.197600256951455</v>
      </c>
      <c r="BO471" s="255">
        <f t="shared" si="1685"/>
        <v>0.449863435814832</v>
      </c>
      <c r="BP471" s="254">
        <f t="shared" si="1685"/>
        <v>0.242332606430405</v>
      </c>
      <c r="BQ471" s="255">
        <f t="shared" si="1685"/>
        <v>0.756870379775408</v>
      </c>
      <c r="BR471" s="255">
        <f t="shared" si="1685"/>
        <v>0.670021674680485</v>
      </c>
      <c r="BS471" s="255">
        <f t="shared" si="1685"/>
        <v>0.464243980000383</v>
      </c>
      <c r="BT471" s="255">
        <f t="shared" si="1685"/>
        <v>0.433365857428536</v>
      </c>
      <c r="BU471" s="254">
        <f t="shared" si="1685"/>
        <v>0.530975593938477</v>
      </c>
      <c r="BV471" s="255">
        <f t="shared" si="1685"/>
        <v>0.263510366646859</v>
      </c>
      <c r="BW471" s="255">
        <f t="shared" si="1685"/>
        <v>0.284158548774484</v>
      </c>
      <c r="BX471" s="255">
        <f t="shared" si="1685"/>
        <v>0.351239615359456</v>
      </c>
      <c r="BY471" s="255">
        <f t="shared" si="1685"/>
        <v>0.444544792818052</v>
      </c>
      <c r="BZ471" s="254">
        <f t="shared" si="1685"/>
        <v>0.362209727568221</v>
      </c>
      <c r="CA471" s="255">
        <f t="shared" si="1685"/>
        <v>0.994877661264697</v>
      </c>
      <c r="CB471" s="255">
        <f t="shared" si="1685"/>
        <v>1.76013289808436</v>
      </c>
      <c r="CC471" s="255">
        <f t="shared" si="1685"/>
        <v>1.02949207025426</v>
      </c>
      <c r="CD471" s="255">
        <f t="shared" si="1685"/>
        <v>0.982690244016237</v>
      </c>
      <c r="CE471" s="254">
        <f t="shared" si="1685"/>
        <v>1.13343754146212</v>
      </c>
      <c r="CF471" s="255">
        <f t="shared" si="1685"/>
        <v>0.509637011220348</v>
      </c>
      <c r="CG471" s="255">
        <f t="shared" si="1685"/>
        <v>0.0953429154653929</v>
      </c>
      <c r="CH471" s="255">
        <f t="shared" si="1685"/>
        <v>0.22632507991031</v>
      </c>
      <c r="CI471" s="255">
        <f t="shared" si="1685"/>
        <v>0.0878103306271325</v>
      </c>
      <c r="CJ471" s="254">
        <f t="shared" si="1685"/>
        <v>0.182094680605032</v>
      </c>
      <c r="CK471" s="255">
        <f t="shared" si="1685"/>
        <v>0.20332330236818</v>
      </c>
      <c r="CL471" s="255">
        <f t="shared" si="1685"/>
        <v>0.254276689926532</v>
      </c>
      <c r="CM471" s="255">
        <f t="shared" si="1685"/>
        <v>0.251670881151527</v>
      </c>
      <c r="CN471" s="255">
        <f t="shared" si="1685"/>
        <v>0.361266805836479</v>
      </c>
      <c r="CO471" s="254">
        <f t="shared" si="1685"/>
        <v>0.284457984243269</v>
      </c>
      <c r="CP471" s="255">
        <f t="shared" si="1685"/>
        <v>0.295839807510864</v>
      </c>
      <c r="CQ471" s="255">
        <f t="shared" si="1685"/>
        <v>0.175989437018838</v>
      </c>
      <c r="CR471" s="255">
        <f t="shared" si="1685"/>
        <v>0.194724344350442</v>
      </c>
      <c r="CS471" s="255">
        <f t="shared" si="1685"/>
        <v>0.191864807569454</v>
      </c>
      <c r="CT471" s="254">
        <f t="shared" si="1685"/>
        <v>0.208108858792554</v>
      </c>
      <c r="CU471" s="255"/>
      <c r="CV471" s="255"/>
      <c r="CW471" s="255"/>
      <c r="CX471" s="255"/>
      <c r="CY471" s="254"/>
      <c r="CZ471" s="255"/>
      <c r="DA471" s="255"/>
      <c r="DB471" s="255"/>
      <c r="DC471" s="255"/>
      <c r="DD471" s="254"/>
      <c r="DE471" s="255"/>
      <c r="DF471" s="255"/>
      <c r="DG471" s="255"/>
      <c r="DH471" s="255"/>
      <c r="DI471" s="254"/>
      <c r="DJ471" s="255"/>
      <c r="DK471" s="255"/>
      <c r="DL471" s="255"/>
      <c r="DM471" s="255"/>
      <c r="DN471" s="254"/>
      <c r="DO471" s="255"/>
      <c r="DP471" s="255"/>
      <c r="DQ471" s="255"/>
      <c r="DR471" s="255"/>
      <c r="DS471" s="254"/>
    </row>
    <row r="472" s="4" customFormat="1" hidden="1" outlineLevel="1" spans="2:123">
      <c r="B472" s="262" t="s">
        <v>72</v>
      </c>
      <c r="C472" s="150"/>
      <c r="D472" s="151"/>
      <c r="E472" s="151"/>
      <c r="F472" s="151"/>
      <c r="G472" s="151"/>
      <c r="H472" s="150"/>
      <c r="I472" s="151"/>
      <c r="J472" s="151"/>
      <c r="K472" s="151"/>
      <c r="L472" s="151"/>
      <c r="M472" s="150"/>
      <c r="N472" s="151"/>
      <c r="O472" s="151"/>
      <c r="P472" s="151"/>
      <c r="Q472" s="151"/>
      <c r="R472" s="150"/>
      <c r="S472" s="151"/>
      <c r="T472" s="151"/>
      <c r="U472" s="151"/>
      <c r="V472" s="151"/>
      <c r="W472" s="150"/>
      <c r="X472" s="255">
        <f t="shared" ref="X472:BC472" si="1686">X470/X461</f>
        <v>0.420023014959724</v>
      </c>
      <c r="Y472" s="255">
        <f t="shared" si="1686"/>
        <v>0.428214285714286</v>
      </c>
      <c r="Z472" s="255">
        <f t="shared" si="1686"/>
        <v>0.431190476190476</v>
      </c>
      <c r="AA472" s="255">
        <f t="shared" si="1686"/>
        <v>0.346785714285714</v>
      </c>
      <c r="AB472" s="254">
        <f t="shared" si="1686"/>
        <v>0.386501936197677</v>
      </c>
      <c r="AC472" s="255">
        <f t="shared" si="1686"/>
        <v>0.355178684896689</v>
      </c>
      <c r="AD472" s="255">
        <f t="shared" si="1686"/>
        <v>0.2934375</v>
      </c>
      <c r="AE472" s="255">
        <f t="shared" si="1686"/>
        <v>0.291119402985075</v>
      </c>
      <c r="AF472" s="255">
        <f t="shared" si="1686"/>
        <v>0.260325203252033</v>
      </c>
      <c r="AG472" s="254">
        <f t="shared" si="1686"/>
        <v>0.28846526747027</v>
      </c>
      <c r="AH472" s="255">
        <f t="shared" si="1686"/>
        <v>0.310453402326194</v>
      </c>
      <c r="AI472" s="255">
        <f t="shared" si="1686"/>
        <v>0.439677419354839</v>
      </c>
      <c r="AJ472" s="255">
        <f t="shared" si="1686"/>
        <v>0.380669456066946</v>
      </c>
      <c r="AK472" s="255">
        <f t="shared" si="1686"/>
        <v>0.451117764471058</v>
      </c>
      <c r="AL472" s="254">
        <f t="shared" si="1686"/>
        <v>0.415028060061424</v>
      </c>
      <c r="AM472" s="255">
        <f t="shared" si="1686"/>
        <v>0.443649699586444</v>
      </c>
      <c r="AN472" s="255">
        <f t="shared" si="1686"/>
        <v>0.397634238608774</v>
      </c>
      <c r="AO472" s="255">
        <f t="shared" si="1686"/>
        <v>0.407184965205443</v>
      </c>
      <c r="AP472" s="255">
        <f t="shared" si="1686"/>
        <v>0.426973180076628</v>
      </c>
      <c r="AQ472" s="254">
        <f t="shared" si="1686"/>
        <v>0.420429720565054</v>
      </c>
      <c r="AR472" s="255">
        <f t="shared" si="1686"/>
        <v>0.393129134471066</v>
      </c>
      <c r="AS472" s="255">
        <f t="shared" si="1686"/>
        <v>0.417807387007938</v>
      </c>
      <c r="AT472" s="255">
        <f t="shared" si="1686"/>
        <v>0.451625399489944</v>
      </c>
      <c r="AU472" s="255">
        <f t="shared" si="1686"/>
        <v>0.40643089447524</v>
      </c>
      <c r="AV472" s="254">
        <f t="shared" si="1686"/>
        <v>0.416480730415876</v>
      </c>
      <c r="AW472" s="255">
        <f t="shared" si="1686"/>
        <v>0.411025555521872</v>
      </c>
      <c r="AX472" s="255">
        <f t="shared" si="1686"/>
        <v>0.379322834645669</v>
      </c>
      <c r="AY472" s="255">
        <f t="shared" si="1686"/>
        <v>0.418273901273267</v>
      </c>
      <c r="AZ472" s="255">
        <f t="shared" si="1686"/>
        <v>0.431275109170306</v>
      </c>
      <c r="BA472" s="254">
        <f t="shared" si="1686"/>
        <v>0.413718915115341</v>
      </c>
      <c r="BB472" s="255">
        <f t="shared" si="1686"/>
        <v>0.416937682337749</v>
      </c>
      <c r="BC472" s="255">
        <f t="shared" si="1686"/>
        <v>0.39214970999161</v>
      </c>
      <c r="BD472" s="255">
        <f t="shared" ref="BD472:CI472" si="1687">BD470/BD461</f>
        <v>0.425221090339192</v>
      </c>
      <c r="BE472" s="255">
        <f t="shared" si="1687"/>
        <v>0.419026790595954</v>
      </c>
      <c r="BF472" s="254">
        <f t="shared" si="1687"/>
        <v>0.414464852748895</v>
      </c>
      <c r="BG472" s="255">
        <f t="shared" si="1687"/>
        <v>0.395127400938852</v>
      </c>
      <c r="BH472" s="255">
        <f t="shared" si="1687"/>
        <v>0.373505417682124</v>
      </c>
      <c r="BI472" s="255">
        <f t="shared" si="1687"/>
        <v>0.419063001740167</v>
      </c>
      <c r="BJ472" s="255">
        <f t="shared" si="1687"/>
        <v>0.434516672854196</v>
      </c>
      <c r="BK472" s="254">
        <f t="shared" si="1687"/>
        <v>0.41072874359953</v>
      </c>
      <c r="BL472" s="255">
        <f t="shared" si="1687"/>
        <v>0.364543369367331</v>
      </c>
      <c r="BM472" s="255">
        <f t="shared" si="1687"/>
        <v>0.355058425992269</v>
      </c>
      <c r="BN472" s="255">
        <f t="shared" si="1687"/>
        <v>0.397931102827391</v>
      </c>
      <c r="BO472" s="255">
        <f t="shared" si="1687"/>
        <v>0.438354366054036</v>
      </c>
      <c r="BP472" s="254">
        <f t="shared" si="1687"/>
        <v>0.400446335049074</v>
      </c>
      <c r="BQ472" s="255">
        <f t="shared" si="1687"/>
        <v>0.39454441769104</v>
      </c>
      <c r="BR472" s="255">
        <f t="shared" si="1687"/>
        <v>0.400436081242533</v>
      </c>
      <c r="BS472" s="255">
        <f t="shared" si="1687"/>
        <v>0.403617161716172</v>
      </c>
      <c r="BT472" s="255">
        <f t="shared" si="1687"/>
        <v>0.43098695466521</v>
      </c>
      <c r="BU472" s="254">
        <f t="shared" si="1687"/>
        <v>0.412300781504699</v>
      </c>
      <c r="BV472" s="255">
        <f t="shared" si="1687"/>
        <v>0.374921370160691</v>
      </c>
      <c r="BW472" s="255">
        <f t="shared" si="1687"/>
        <v>0.395527394364903</v>
      </c>
      <c r="BX472" s="255">
        <f t="shared" si="1687"/>
        <v>0.418654235914066</v>
      </c>
      <c r="BY472" s="255">
        <f t="shared" si="1687"/>
        <v>0.462316652286454</v>
      </c>
      <c r="BZ472" s="254">
        <f t="shared" si="1687"/>
        <v>0.423955421962066</v>
      </c>
      <c r="CA472" s="255">
        <f t="shared" si="1687"/>
        <v>0.44582276395513</v>
      </c>
      <c r="CB472" s="255">
        <f t="shared" si="1687"/>
        <v>0.428639725780263</v>
      </c>
      <c r="CC472" s="255">
        <f t="shared" si="1687"/>
        <v>0.438273502236217</v>
      </c>
      <c r="CD472" s="255">
        <f t="shared" si="1687"/>
        <v>0.472446985211225</v>
      </c>
      <c r="CE472" s="254">
        <f t="shared" si="1687"/>
        <v>0.450556638418821</v>
      </c>
      <c r="CF472" s="255">
        <f t="shared" si="1687"/>
        <v>0.434659695468721</v>
      </c>
      <c r="CG472" s="255">
        <f t="shared" si="1687"/>
        <v>0.435615456977098</v>
      </c>
      <c r="CH472" s="255">
        <f t="shared" si="1687"/>
        <v>0.438259238736627</v>
      </c>
      <c r="CI472" s="255">
        <f t="shared" si="1687"/>
        <v>0.440717022613365</v>
      </c>
      <c r="CJ472" s="254">
        <f t="shared" ref="CJ472:CT472" si="1688">CJ470/CJ461</f>
        <v>0.437912355324657</v>
      </c>
      <c r="CK472" s="255">
        <f t="shared" si="1688"/>
        <v>0.395294023040459</v>
      </c>
      <c r="CL472" s="255">
        <f t="shared" si="1688"/>
        <v>0.420960118644614</v>
      </c>
      <c r="CM472" s="255">
        <f t="shared" si="1688"/>
        <v>0.419289217059729</v>
      </c>
      <c r="CN472" s="255">
        <f t="shared" si="1688"/>
        <v>0.438280160639437</v>
      </c>
      <c r="CO472" s="254">
        <f t="shared" si="1688"/>
        <v>0.422331423585819</v>
      </c>
      <c r="CP472" s="255">
        <f t="shared" si="1688"/>
        <v>0.442489418426669</v>
      </c>
      <c r="CQ472" s="255">
        <f t="shared" si="1688"/>
        <v>0.429541901791819</v>
      </c>
      <c r="CR472" s="255">
        <f t="shared" si="1688"/>
        <v>0.423281104955584</v>
      </c>
      <c r="CS472" s="255">
        <f t="shared" si="1688"/>
        <v>0.447930204112836</v>
      </c>
      <c r="CT472" s="254">
        <f t="shared" si="1688"/>
        <v>0.437872380894944</v>
      </c>
      <c r="CU472" s="255"/>
      <c r="CV472" s="255"/>
      <c r="CW472" s="255"/>
      <c r="CX472" s="255"/>
      <c r="CY472" s="254"/>
      <c r="CZ472" s="255"/>
      <c r="DA472" s="255"/>
      <c r="DB472" s="255"/>
      <c r="DC472" s="255"/>
      <c r="DD472" s="254"/>
      <c r="DE472" s="255"/>
      <c r="DF472" s="255"/>
      <c r="DG472" s="255"/>
      <c r="DH472" s="255"/>
      <c r="DI472" s="254"/>
      <c r="DJ472" s="255"/>
      <c r="DK472" s="255"/>
      <c r="DL472" s="255"/>
      <c r="DM472" s="255"/>
      <c r="DN472" s="254"/>
      <c r="DO472" s="255"/>
      <c r="DP472" s="255"/>
      <c r="DQ472" s="255"/>
      <c r="DR472" s="255"/>
      <c r="DS472" s="254"/>
    </row>
    <row r="473" s="4" customFormat="1" hidden="1" outlineLevel="1" spans="2:123">
      <c r="B473" s="256" t="s">
        <v>73</v>
      </c>
      <c r="C473" s="414"/>
      <c r="D473" s="415"/>
      <c r="E473" s="415"/>
      <c r="F473" s="415"/>
      <c r="G473" s="415"/>
      <c r="H473" s="414"/>
      <c r="I473" s="415"/>
      <c r="J473" s="415"/>
      <c r="K473" s="415"/>
      <c r="L473" s="415"/>
      <c r="M473" s="414"/>
      <c r="N473" s="415"/>
      <c r="O473" s="415"/>
      <c r="P473" s="415"/>
      <c r="Q473" s="415"/>
      <c r="R473" s="414"/>
      <c r="S473" s="415"/>
      <c r="T473" s="415"/>
      <c r="U473" s="415"/>
      <c r="V473" s="415"/>
      <c r="W473" s="414"/>
      <c r="X473" s="415"/>
      <c r="Y473" s="415"/>
      <c r="Z473" s="415"/>
      <c r="AA473" s="415"/>
      <c r="AB473" s="414"/>
      <c r="AC473" s="260">
        <f t="shared" ref="AC473:BH473" si="1689">(AC472-X472)*100*100</f>
        <v>-648.443300630346</v>
      </c>
      <c r="AD473" s="260">
        <f t="shared" si="1689"/>
        <v>-1347.76785714286</v>
      </c>
      <c r="AE473" s="260">
        <f t="shared" si="1689"/>
        <v>-1400.71073205402</v>
      </c>
      <c r="AF473" s="260">
        <f t="shared" si="1689"/>
        <v>-864.605110336818</v>
      </c>
      <c r="AG473" s="259">
        <f t="shared" si="1689"/>
        <v>-980.366687274063</v>
      </c>
      <c r="AH473" s="260">
        <f t="shared" si="1689"/>
        <v>-447.252825704953</v>
      </c>
      <c r="AI473" s="260">
        <f t="shared" si="1689"/>
        <v>1462.39919354839</v>
      </c>
      <c r="AJ473" s="260">
        <f t="shared" si="1689"/>
        <v>895.50053081871</v>
      </c>
      <c r="AK473" s="260">
        <f t="shared" si="1689"/>
        <v>1907.92561219025</v>
      </c>
      <c r="AL473" s="259">
        <f t="shared" si="1689"/>
        <v>1265.62792591153</v>
      </c>
      <c r="AM473" s="260">
        <f t="shared" si="1689"/>
        <v>1331.9629726025</v>
      </c>
      <c r="AN473" s="260">
        <f t="shared" si="1689"/>
        <v>-420.431807460644</v>
      </c>
      <c r="AO473" s="260">
        <f t="shared" si="1689"/>
        <v>265.155091384974</v>
      </c>
      <c r="AP473" s="260">
        <f t="shared" si="1689"/>
        <v>-241.445843944295</v>
      </c>
      <c r="AQ473" s="259">
        <f t="shared" si="1689"/>
        <v>54.0166050363011</v>
      </c>
      <c r="AR473" s="260">
        <f t="shared" si="1689"/>
        <v>-505.205651153779</v>
      </c>
      <c r="AS473" s="260">
        <f t="shared" si="1689"/>
        <v>201.731483991635</v>
      </c>
      <c r="AT473" s="260">
        <f t="shared" si="1689"/>
        <v>444.404342845011</v>
      </c>
      <c r="AU473" s="260">
        <f t="shared" si="1689"/>
        <v>-205.422856013887</v>
      </c>
      <c r="AV473" s="259">
        <f t="shared" si="1689"/>
        <v>-39.4899014917738</v>
      </c>
      <c r="AW473" s="260">
        <f t="shared" si="1689"/>
        <v>178.964210508066</v>
      </c>
      <c r="AX473" s="260">
        <f t="shared" si="1689"/>
        <v>-384.845523622685</v>
      </c>
      <c r="AY473" s="260">
        <f t="shared" si="1689"/>
        <v>-333.514982166776</v>
      </c>
      <c r="AZ473" s="260">
        <f t="shared" si="1689"/>
        <v>248.44214695066</v>
      </c>
      <c r="BA473" s="259">
        <f t="shared" si="1689"/>
        <v>-27.6181530053493</v>
      </c>
      <c r="BB473" s="260">
        <f t="shared" si="1689"/>
        <v>59.1212681587711</v>
      </c>
      <c r="BC473" s="260">
        <f t="shared" si="1689"/>
        <v>128.268753459405</v>
      </c>
      <c r="BD473" s="260">
        <f t="shared" si="1689"/>
        <v>69.4718906592517</v>
      </c>
      <c r="BE473" s="260">
        <f t="shared" si="1689"/>
        <v>-122.483185743516</v>
      </c>
      <c r="BF473" s="259">
        <f t="shared" si="1689"/>
        <v>7.45937633553517</v>
      </c>
      <c r="BG473" s="260">
        <f t="shared" si="1689"/>
        <v>-218.102813988977</v>
      </c>
      <c r="BH473" s="260">
        <f t="shared" si="1689"/>
        <v>-186.442923094853</v>
      </c>
      <c r="BI473" s="260">
        <f t="shared" ref="BI473:CT473" si="1690">(BI472-BD472)*100*100</f>
        <v>-61.5808859902467</v>
      </c>
      <c r="BJ473" s="260">
        <f t="shared" si="1690"/>
        <v>154.898822582414</v>
      </c>
      <c r="BK473" s="259">
        <f t="shared" si="1690"/>
        <v>-37.3610914936529</v>
      </c>
      <c r="BL473" s="260">
        <f t="shared" si="1690"/>
        <v>-305.840315715209</v>
      </c>
      <c r="BM473" s="260">
        <f t="shared" si="1690"/>
        <v>-184.469916898556</v>
      </c>
      <c r="BN473" s="260">
        <f t="shared" si="1690"/>
        <v>-211.318989127759</v>
      </c>
      <c r="BO473" s="260">
        <f t="shared" si="1690"/>
        <v>38.3769319984012</v>
      </c>
      <c r="BP473" s="259">
        <f t="shared" si="1690"/>
        <v>-102.824085504553</v>
      </c>
      <c r="BQ473" s="260">
        <f t="shared" si="1690"/>
        <v>300.010483237097</v>
      </c>
      <c r="BR473" s="260">
        <f t="shared" si="1690"/>
        <v>453.77655250264</v>
      </c>
      <c r="BS473" s="260">
        <f t="shared" si="1690"/>
        <v>56.8605888878049</v>
      </c>
      <c r="BT473" s="260">
        <f t="shared" si="1690"/>
        <v>-73.6741138882519</v>
      </c>
      <c r="BU473" s="259">
        <f t="shared" si="1690"/>
        <v>118.544464556249</v>
      </c>
      <c r="BV473" s="260">
        <f t="shared" si="1690"/>
        <v>-196.230475303497</v>
      </c>
      <c r="BW473" s="260">
        <f t="shared" si="1690"/>
        <v>-49.0868687762996</v>
      </c>
      <c r="BX473" s="260">
        <f t="shared" si="1690"/>
        <v>150.370741978941</v>
      </c>
      <c r="BY473" s="260">
        <f t="shared" si="1690"/>
        <v>313.296976212433</v>
      </c>
      <c r="BZ473" s="259">
        <f t="shared" si="1690"/>
        <v>116.546404573671</v>
      </c>
      <c r="CA473" s="465">
        <f t="shared" si="1690"/>
        <v>709.013937944392</v>
      </c>
      <c r="CB473" s="465">
        <f t="shared" si="1690"/>
        <v>331.123314153606</v>
      </c>
      <c r="CC473" s="465">
        <f t="shared" si="1690"/>
        <v>196.192663221517</v>
      </c>
      <c r="CD473" s="465">
        <f t="shared" si="1690"/>
        <v>101.303329247714</v>
      </c>
      <c r="CE473" s="259">
        <f t="shared" si="1690"/>
        <v>266.012164567547</v>
      </c>
      <c r="CF473" s="465">
        <f t="shared" si="1690"/>
        <v>-111.630684864087</v>
      </c>
      <c r="CG473" s="465">
        <f t="shared" si="1690"/>
        <v>69.7573119683492</v>
      </c>
      <c r="CH473" s="465">
        <f t="shared" si="1690"/>
        <v>-0.142634995906055</v>
      </c>
      <c r="CI473" s="465">
        <f t="shared" si="1690"/>
        <v>-317.299625978604</v>
      </c>
      <c r="CJ473" s="259">
        <f t="shared" si="1690"/>
        <v>-126.442830941638</v>
      </c>
      <c r="CK473" s="465">
        <f t="shared" si="1690"/>
        <v>-393.656724282625</v>
      </c>
      <c r="CL473" s="465">
        <f t="shared" si="1690"/>
        <v>-146.553383324841</v>
      </c>
      <c r="CM473" s="465">
        <f t="shared" si="1690"/>
        <v>-189.700216768979</v>
      </c>
      <c r="CN473" s="465">
        <f t="shared" si="1690"/>
        <v>-24.3686197392728</v>
      </c>
      <c r="CO473" s="259">
        <f t="shared" si="1690"/>
        <v>-155.809317388386</v>
      </c>
      <c r="CP473" s="465">
        <f t="shared" si="1690"/>
        <v>471.953953862103</v>
      </c>
      <c r="CQ473" s="465">
        <f t="shared" si="1690"/>
        <v>85.8178314720448</v>
      </c>
      <c r="CR473" s="465">
        <f t="shared" si="1690"/>
        <v>39.9188789585553</v>
      </c>
      <c r="CS473" s="465">
        <f t="shared" si="1690"/>
        <v>96.500434733981</v>
      </c>
      <c r="CT473" s="259">
        <f t="shared" si="1690"/>
        <v>155.409573091247</v>
      </c>
      <c r="CU473" s="465"/>
      <c r="CV473" s="466"/>
      <c r="CW473" s="466"/>
      <c r="CX473" s="466"/>
      <c r="CY473" s="259"/>
      <c r="CZ473" s="466"/>
      <c r="DA473" s="466"/>
      <c r="DB473" s="466"/>
      <c r="DC473" s="466"/>
      <c r="DD473" s="259"/>
      <c r="DE473" s="466"/>
      <c r="DF473" s="466"/>
      <c r="DG473" s="466"/>
      <c r="DH473" s="466"/>
      <c r="DI473" s="259"/>
      <c r="DJ473" s="466"/>
      <c r="DK473" s="466"/>
      <c r="DL473" s="466"/>
      <c r="DM473" s="466"/>
      <c r="DN473" s="259"/>
      <c r="DO473" s="466"/>
      <c r="DP473" s="466"/>
      <c r="DQ473" s="466"/>
      <c r="DR473" s="466"/>
      <c r="DS473" s="259"/>
    </row>
    <row r="474" hidden="1" outlineLevel="1" spans="2:123">
      <c r="B474" s="245"/>
      <c r="C474" s="246"/>
      <c r="D474" s="247"/>
      <c r="E474" s="247"/>
      <c r="F474" s="247"/>
      <c r="G474" s="247"/>
      <c r="H474" s="246"/>
      <c r="I474" s="247"/>
      <c r="J474" s="247"/>
      <c r="K474" s="247"/>
      <c r="L474" s="247"/>
      <c r="M474" s="246"/>
      <c r="N474" s="247"/>
      <c r="O474" s="247"/>
      <c r="P474" s="247"/>
      <c r="Q474" s="247"/>
      <c r="R474" s="246"/>
      <c r="S474" s="247"/>
      <c r="T474" s="247"/>
      <c r="U474" s="247"/>
      <c r="V474" s="247"/>
      <c r="W474" s="246"/>
      <c r="X474" s="247"/>
      <c r="Y474" s="247"/>
      <c r="Z474" s="247"/>
      <c r="AA474" s="247"/>
      <c r="AB474" s="246"/>
      <c r="AC474" s="247"/>
      <c r="AD474" s="247"/>
      <c r="AE474" s="247"/>
      <c r="AF474" s="247"/>
      <c r="AG474" s="246"/>
      <c r="AH474" s="247"/>
      <c r="AI474" s="247"/>
      <c r="AJ474" s="247"/>
      <c r="AK474" s="247"/>
      <c r="AL474" s="246"/>
      <c r="AM474" s="247"/>
      <c r="AN474" s="247"/>
      <c r="AO474" s="247"/>
      <c r="AP474" s="247"/>
      <c r="AQ474" s="246"/>
      <c r="AR474" s="247"/>
      <c r="AS474" s="247"/>
      <c r="AT474" s="247"/>
      <c r="AU474" s="247"/>
      <c r="AV474" s="246"/>
      <c r="AW474" s="247"/>
      <c r="AX474" s="247"/>
      <c r="AY474" s="247"/>
      <c r="AZ474" s="247"/>
      <c r="BA474" s="246"/>
      <c r="BB474" s="247"/>
      <c r="BC474" s="247"/>
      <c r="BD474" s="247"/>
      <c r="BE474" s="247"/>
      <c r="BF474" s="246"/>
      <c r="BG474" s="247"/>
      <c r="BH474" s="247"/>
      <c r="BI474" s="247"/>
      <c r="BJ474" s="247"/>
      <c r="BK474" s="246"/>
      <c r="BL474" s="247"/>
      <c r="BM474" s="247"/>
      <c r="BN474" s="247"/>
      <c r="BO474" s="247"/>
      <c r="BP474" s="246"/>
      <c r="BQ474" s="247"/>
      <c r="BR474" s="247"/>
      <c r="BS474" s="247"/>
      <c r="BT474" s="247"/>
      <c r="BU474" s="252"/>
      <c r="BV474" s="247"/>
      <c r="BW474" s="247"/>
      <c r="BX474" s="247"/>
      <c r="BY474" s="247"/>
      <c r="BZ474" s="252"/>
      <c r="CA474" s="247"/>
      <c r="CB474" s="247"/>
      <c r="CC474" s="247"/>
      <c r="CD474" s="247"/>
      <c r="CE474" s="246"/>
      <c r="CF474" s="247"/>
      <c r="CG474" s="247"/>
      <c r="CH474" s="247"/>
      <c r="CI474" s="247"/>
      <c r="CJ474" s="246"/>
      <c r="CK474" s="247"/>
      <c r="CL474" s="247"/>
      <c r="CM474" s="247"/>
      <c r="CN474" s="247"/>
      <c r="CO474" s="246"/>
      <c r="CP474" s="247"/>
      <c r="CQ474" s="247"/>
      <c r="CR474" s="247"/>
      <c r="CS474" s="247"/>
      <c r="CT474" s="246"/>
      <c r="CU474" s="247"/>
      <c r="CV474" s="247"/>
      <c r="CW474" s="247"/>
      <c r="CX474" s="247"/>
      <c r="CY474" s="246"/>
      <c r="CZ474" s="247"/>
      <c r="DA474" s="247"/>
      <c r="DB474" s="247"/>
      <c r="DC474" s="247"/>
      <c r="DD474" s="246"/>
      <c r="DE474" s="247"/>
      <c r="DF474" s="247"/>
      <c r="DG474" s="247"/>
      <c r="DH474" s="247"/>
      <c r="DI474" s="246"/>
      <c r="DJ474" s="247"/>
      <c r="DK474" s="247"/>
      <c r="DL474" s="247"/>
      <c r="DM474" s="247"/>
      <c r="DN474" s="246"/>
      <c r="DO474" s="247"/>
      <c r="DP474" s="247"/>
      <c r="DQ474" s="247"/>
      <c r="DR474" s="247"/>
      <c r="DS474" s="246"/>
    </row>
    <row r="475" hidden="1" outlineLevel="1" spans="2:123">
      <c r="B475" s="184" t="s">
        <v>473</v>
      </c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  <c r="AA475" s="185"/>
      <c r="AB475" s="185"/>
      <c r="AC475" s="185"/>
      <c r="AD475" s="185"/>
      <c r="AE475" s="185"/>
      <c r="AF475" s="185"/>
      <c r="AG475" s="185"/>
      <c r="AH475" s="185"/>
      <c r="AI475" s="185"/>
      <c r="AJ475" s="185"/>
      <c r="AK475" s="185"/>
      <c r="AL475" s="185"/>
      <c r="AM475" s="185"/>
      <c r="AN475" s="185"/>
      <c r="AO475" s="185"/>
      <c r="AP475" s="185"/>
      <c r="AQ475" s="185"/>
      <c r="AR475" s="185"/>
      <c r="AS475" s="185"/>
      <c r="AT475" s="185"/>
      <c r="AU475" s="185"/>
      <c r="AV475" s="185"/>
      <c r="AW475" s="185"/>
      <c r="AX475" s="185"/>
      <c r="AY475" s="185"/>
      <c r="AZ475" s="185"/>
      <c r="BA475" s="185"/>
      <c r="BB475" s="185"/>
      <c r="BC475" s="185"/>
      <c r="BD475" s="185"/>
      <c r="BE475" s="185"/>
      <c r="BF475" s="185"/>
      <c r="BG475" s="185"/>
      <c r="BH475" s="185"/>
      <c r="BI475" s="185"/>
      <c r="BJ475" s="185"/>
      <c r="BK475" s="185"/>
      <c r="BL475" s="185"/>
      <c r="BM475" s="185"/>
      <c r="BN475" s="185"/>
      <c r="BO475" s="185"/>
      <c r="BP475" s="185"/>
      <c r="BQ475" s="185"/>
      <c r="BR475" s="185"/>
      <c r="BS475" s="185"/>
      <c r="BT475" s="185"/>
      <c r="BU475" s="185"/>
      <c r="BV475" s="185"/>
      <c r="BW475" s="185"/>
      <c r="BX475" s="185"/>
      <c r="BY475" s="185"/>
      <c r="BZ475" s="185"/>
      <c r="CA475" s="185"/>
      <c r="CB475" s="467"/>
      <c r="CC475" s="185"/>
      <c r="CD475" s="467"/>
      <c r="CE475" s="185"/>
      <c r="CF475" s="185"/>
      <c r="CG475" s="185"/>
      <c r="CH475" s="185"/>
      <c r="CI475" s="185"/>
      <c r="CJ475" s="185"/>
      <c r="CK475" s="185"/>
      <c r="CL475" s="185"/>
      <c r="CM475" s="468"/>
      <c r="CN475" s="185"/>
      <c r="CO475" s="185"/>
      <c r="CP475" s="185"/>
      <c r="CQ475" s="185"/>
      <c r="CR475" s="185"/>
      <c r="CS475" s="185"/>
      <c r="CT475" s="185"/>
      <c r="CU475" s="185"/>
      <c r="CV475" s="185"/>
      <c r="CW475" s="185"/>
      <c r="CX475" s="185"/>
      <c r="CY475" s="185"/>
      <c r="CZ475" s="185"/>
      <c r="DA475" s="185"/>
      <c r="DB475" s="185"/>
      <c r="DC475" s="185"/>
      <c r="DD475" s="185"/>
      <c r="DE475" s="185"/>
      <c r="DF475" s="185"/>
      <c r="DG475" s="185"/>
      <c r="DH475" s="185"/>
      <c r="DI475" s="185"/>
      <c r="DJ475" s="185"/>
      <c r="DK475" s="185"/>
      <c r="DL475" s="185"/>
      <c r="DM475" s="185"/>
      <c r="DN475" s="186"/>
      <c r="DO475" s="185"/>
      <c r="DP475" s="185"/>
      <c r="DQ475" s="185"/>
      <c r="DR475" s="185"/>
      <c r="DS475" s="186"/>
    </row>
    <row r="476" s="96" customFormat="1" hidden="1" outlineLevel="1" spans="2:123">
      <c r="B476" s="379" t="s">
        <v>474</v>
      </c>
      <c r="C476" s="264">
        <v>10.843</v>
      </c>
      <c r="D476" s="265">
        <v>4.578</v>
      </c>
      <c r="E476" s="265">
        <v>3.671</v>
      </c>
      <c r="F476" s="265">
        <v>4.364</v>
      </c>
      <c r="G476" s="265">
        <v>5.93909300000001</v>
      </c>
      <c r="H476" s="264">
        <f>SUM(D476:G476)</f>
        <v>18.552093</v>
      </c>
      <c r="I476" s="265">
        <v>6.038</v>
      </c>
      <c r="J476" s="265">
        <v>5.686437</v>
      </c>
      <c r="K476" s="265">
        <v>6.822615</v>
      </c>
      <c r="L476" s="265">
        <v>9.60378200000001</v>
      </c>
      <c r="M476" s="264">
        <f>SUM(I476:L476)</f>
        <v>28.150834</v>
      </c>
      <c r="N476" s="265">
        <v>6.781456</v>
      </c>
      <c r="O476" s="265">
        <v>5.580944</v>
      </c>
      <c r="P476" s="265">
        <v>6.25028</v>
      </c>
      <c r="Q476" s="265">
        <v>12.592648</v>
      </c>
      <c r="R476" s="264">
        <f>SUM(N476:Q476)</f>
        <v>31.205328</v>
      </c>
      <c r="S476" s="265">
        <v>7.567494</v>
      </c>
      <c r="T476" s="265">
        <v>7.184223</v>
      </c>
      <c r="U476" s="265">
        <v>9.447135</v>
      </c>
      <c r="V476" s="265">
        <v>14.873197</v>
      </c>
      <c r="W476" s="264">
        <f>SUM(S476:V476)</f>
        <v>39.072049</v>
      </c>
      <c r="X476" s="265">
        <v>8.78</v>
      </c>
      <c r="Y476" s="265">
        <v>9.82100000000001</v>
      </c>
      <c r="Z476" s="265">
        <v>10.591</v>
      </c>
      <c r="AA476" s="265">
        <v>13.906</v>
      </c>
      <c r="AB476" s="264">
        <f>SUM(X476:AA476)</f>
        <v>43.098</v>
      </c>
      <c r="AC476" s="265">
        <v>13.5722</v>
      </c>
      <c r="AD476" s="265">
        <v>13.208</v>
      </c>
      <c r="AE476" s="265">
        <v>19.2</v>
      </c>
      <c r="AF476" s="265">
        <v>17.999</v>
      </c>
      <c r="AG476" s="264">
        <f>SUM(AC476:AF476)</f>
        <v>63.9792</v>
      </c>
      <c r="AH476" s="265">
        <v>16.45828</v>
      </c>
      <c r="AI476" s="265">
        <v>15.5</v>
      </c>
      <c r="AJ476" s="265">
        <v>16.3</v>
      </c>
      <c r="AK476" s="265">
        <v>28.94972</v>
      </c>
      <c r="AL476" s="264">
        <f>SUM(AH476:AK476)</f>
        <v>77.208</v>
      </c>
      <c r="AM476" s="265">
        <v>18.462</v>
      </c>
      <c r="AN476" s="265">
        <v>15.898</v>
      </c>
      <c r="AO476" s="271">
        <v>19.369</v>
      </c>
      <c r="AP476" s="271">
        <v>29.193</v>
      </c>
      <c r="AQ476" s="264">
        <f>SUM(AM476:AP476)</f>
        <v>82.922</v>
      </c>
      <c r="AR476" s="265">
        <v>22.458</v>
      </c>
      <c r="AS476" s="271">
        <v>21.361</v>
      </c>
      <c r="AT476" s="271">
        <v>27.28</v>
      </c>
      <c r="AU476" s="271">
        <v>28.007</v>
      </c>
      <c r="AV476" s="264">
        <f>SUM(AR476:AU476)</f>
        <v>99.106</v>
      </c>
      <c r="AW476" s="265">
        <v>30.543</v>
      </c>
      <c r="AX476" s="265">
        <v>33.187</v>
      </c>
      <c r="AY476" s="265">
        <v>32.179</v>
      </c>
      <c r="AZ476" s="271">
        <v>31.899</v>
      </c>
      <c r="BA476" s="264">
        <f>SUM(AW476:AZ476)</f>
        <v>127.808</v>
      </c>
      <c r="BB476" s="271">
        <v>25.814</v>
      </c>
      <c r="BC476" s="265">
        <v>30.992</v>
      </c>
      <c r="BD476" s="265">
        <v>36.964</v>
      </c>
      <c r="BE476" s="271">
        <v>48.905</v>
      </c>
      <c r="BF476" s="264">
        <f>SUM(BB476:BE476)</f>
        <v>142.675</v>
      </c>
      <c r="BG476" s="271">
        <v>39.246</v>
      </c>
      <c r="BH476" s="271">
        <v>45.732</v>
      </c>
      <c r="BI476" s="271">
        <v>46.897</v>
      </c>
      <c r="BJ476" s="271">
        <v>54.873</v>
      </c>
      <c r="BK476" s="264">
        <f>SUM(BG476:BJ476)</f>
        <v>186.748</v>
      </c>
      <c r="BL476" s="271">
        <v>43.985</v>
      </c>
      <c r="BM476" s="265">
        <v>54.061</v>
      </c>
      <c r="BN476" s="271">
        <v>62.753</v>
      </c>
      <c r="BO476" s="265">
        <v>73.74</v>
      </c>
      <c r="BP476" s="264">
        <f>SUM(BL476:BO476)</f>
        <v>234.539</v>
      </c>
      <c r="BQ476" s="265">
        <v>58.72</v>
      </c>
      <c r="BR476" s="265">
        <v>69.7</v>
      </c>
      <c r="BS476" s="265">
        <v>81.403</v>
      </c>
      <c r="BT476" s="265">
        <f>303.1-SUM(BQ476:BS476)</f>
        <v>93.277</v>
      </c>
      <c r="BU476" s="264">
        <f>SUM(BQ476:BT476)</f>
        <v>303.1</v>
      </c>
      <c r="BV476" s="265">
        <v>66.049</v>
      </c>
      <c r="BW476" s="265">
        <v>81.96</v>
      </c>
      <c r="BX476" s="265">
        <v>89.9</v>
      </c>
      <c r="BY476" s="265">
        <v>102.5</v>
      </c>
      <c r="BZ476" s="264">
        <f>SUM(BV476:BY476)</f>
        <v>340.409</v>
      </c>
      <c r="CA476" s="265">
        <v>39.953</v>
      </c>
      <c r="CB476" s="265">
        <v>61.439</v>
      </c>
      <c r="CC476" s="271">
        <v>127.407</v>
      </c>
      <c r="CD476" s="271">
        <f>459.004-CC476-CB476-CA476</f>
        <v>230.205</v>
      </c>
      <c r="CE476" s="264">
        <f>SUM(CA476:CD476)</f>
        <v>459.004</v>
      </c>
      <c r="CF476" s="271">
        <v>144.792</v>
      </c>
      <c r="CG476" s="265">
        <v>158.072</v>
      </c>
      <c r="CH476" s="265">
        <v>156.736</v>
      </c>
      <c r="CI476" s="265">
        <f>657.176-CF476-CG476-CH476</f>
        <v>197.576</v>
      </c>
      <c r="CJ476" s="264">
        <f>SUM(CF476:CI476)</f>
        <v>657.176</v>
      </c>
      <c r="CK476" s="265">
        <v>160.606</v>
      </c>
      <c r="CL476" s="265">
        <v>189.826</v>
      </c>
      <c r="CM476" s="265">
        <v>186.478</v>
      </c>
      <c r="CN476" s="265">
        <f>762.6-CM476-CL476-CK476</f>
        <v>225.69</v>
      </c>
      <c r="CO476" s="264">
        <f>SUM(CK476:CN476)</f>
        <v>762.6</v>
      </c>
      <c r="CP476" s="265">
        <v>207.763</v>
      </c>
      <c r="CQ476" s="265">
        <v>218.553</v>
      </c>
      <c r="CR476" s="265">
        <v>222.118</v>
      </c>
      <c r="CS476" s="265">
        <f>897.212-CR476-CQ476-CP476</f>
        <v>248.778</v>
      </c>
      <c r="CT476" s="264">
        <f>SUM(CP476:CS476)</f>
        <v>897.212</v>
      </c>
      <c r="CU476" s="265"/>
      <c r="CV476" s="265"/>
      <c r="CW476" s="271"/>
      <c r="CX476" s="265"/>
      <c r="CY476" s="264"/>
      <c r="CZ476" s="265"/>
      <c r="DA476" s="265"/>
      <c r="DB476" s="265"/>
      <c r="DC476" s="265"/>
      <c r="DD476" s="264"/>
      <c r="DE476" s="265"/>
      <c r="DF476" s="265"/>
      <c r="DG476" s="265"/>
      <c r="DH476" s="265"/>
      <c r="DI476" s="264"/>
      <c r="DJ476" s="265"/>
      <c r="DK476" s="265"/>
      <c r="DL476" s="265"/>
      <c r="DM476" s="265"/>
      <c r="DN476" s="264"/>
      <c r="DO476" s="265"/>
      <c r="DP476" s="265"/>
      <c r="DQ476" s="265"/>
      <c r="DR476" s="265"/>
      <c r="DS476" s="264"/>
    </row>
    <row r="477" hidden="1" outlineLevel="1" spans="2:123">
      <c r="B477" s="149" t="s">
        <v>69</v>
      </c>
      <c r="C477" s="252"/>
      <c r="D477" s="253"/>
      <c r="E477" s="253"/>
      <c r="F477" s="253"/>
      <c r="G477" s="253"/>
      <c r="H477" s="254">
        <f t="shared" ref="H477:AM477" si="1691">H476/C476-1</f>
        <v>0.710974176888316</v>
      </c>
      <c r="I477" s="255">
        <f t="shared" si="1691"/>
        <v>0.318916557448668</v>
      </c>
      <c r="J477" s="255">
        <f t="shared" si="1691"/>
        <v>0.54901579950967</v>
      </c>
      <c r="K477" s="255">
        <f t="shared" si="1691"/>
        <v>0.563385655362053</v>
      </c>
      <c r="L477" s="255">
        <f t="shared" si="1691"/>
        <v>0.617045228960045</v>
      </c>
      <c r="M477" s="254">
        <f t="shared" si="1691"/>
        <v>0.517393967354519</v>
      </c>
      <c r="N477" s="255">
        <f t="shared" si="1691"/>
        <v>0.123129513083802</v>
      </c>
      <c r="O477" s="255">
        <f t="shared" si="1691"/>
        <v>-0.0185516871109273</v>
      </c>
      <c r="P477" s="255">
        <f t="shared" si="1691"/>
        <v>-0.0838879227393017</v>
      </c>
      <c r="Q477" s="255">
        <f t="shared" si="1691"/>
        <v>0.311217601565712</v>
      </c>
      <c r="R477" s="254">
        <f t="shared" si="1691"/>
        <v>0.108504565086774</v>
      </c>
      <c r="S477" s="255">
        <f t="shared" si="1691"/>
        <v>0.115909916690458</v>
      </c>
      <c r="T477" s="255">
        <f t="shared" si="1691"/>
        <v>0.287277385331228</v>
      </c>
      <c r="U477" s="255">
        <f t="shared" si="1691"/>
        <v>0.511473885969909</v>
      </c>
      <c r="V477" s="255">
        <f t="shared" si="1691"/>
        <v>0.181101623741093</v>
      </c>
      <c r="W477" s="254">
        <f t="shared" si="1691"/>
        <v>0.252095443444787</v>
      </c>
      <c r="X477" s="255">
        <f t="shared" si="1691"/>
        <v>0.160225564764241</v>
      </c>
      <c r="Y477" s="255">
        <f t="shared" si="1691"/>
        <v>0.367023267512716</v>
      </c>
      <c r="Z477" s="255">
        <f t="shared" si="1691"/>
        <v>0.121080623914023</v>
      </c>
      <c r="AA477" s="255">
        <f t="shared" si="1691"/>
        <v>-0.0650295292935348</v>
      </c>
      <c r="AB477" s="254">
        <f t="shared" si="1691"/>
        <v>0.103039157224644</v>
      </c>
      <c r="AC477" s="255">
        <f t="shared" si="1691"/>
        <v>0.545808656036448</v>
      </c>
      <c r="AD477" s="255">
        <f t="shared" si="1691"/>
        <v>0.344873230831889</v>
      </c>
      <c r="AE477" s="255">
        <f t="shared" si="1691"/>
        <v>0.812859975450855</v>
      </c>
      <c r="AF477" s="255">
        <f t="shared" si="1691"/>
        <v>0.294333381274272</v>
      </c>
      <c r="AG477" s="254">
        <f t="shared" si="1691"/>
        <v>0.484505081442295</v>
      </c>
      <c r="AH477" s="255">
        <f t="shared" si="1691"/>
        <v>0.212646439044516</v>
      </c>
      <c r="AI477" s="255">
        <f t="shared" si="1691"/>
        <v>0.173531193216233</v>
      </c>
      <c r="AJ477" s="255">
        <f t="shared" si="1691"/>
        <v>-0.151041666666667</v>
      </c>
      <c r="AK477" s="255">
        <f t="shared" si="1691"/>
        <v>0.608407133729652</v>
      </c>
      <c r="AL477" s="254">
        <f t="shared" si="1691"/>
        <v>0.206767199339785</v>
      </c>
      <c r="AM477" s="255">
        <f t="shared" si="1691"/>
        <v>0.12174540717499</v>
      </c>
      <c r="AN477" s="255">
        <f t="shared" ref="AN477:BO477" si="1692">AN476/AI476-1</f>
        <v>0.0256774193548386</v>
      </c>
      <c r="AO477" s="255">
        <f t="shared" si="1692"/>
        <v>0.188282208588957</v>
      </c>
      <c r="AP477" s="255">
        <f t="shared" si="1692"/>
        <v>0.00840353550915163</v>
      </c>
      <c r="AQ477" s="254">
        <f t="shared" si="1692"/>
        <v>0.0740078748316237</v>
      </c>
      <c r="AR477" s="255">
        <f t="shared" si="1692"/>
        <v>0.216444588885278</v>
      </c>
      <c r="AS477" s="255">
        <f t="shared" si="1692"/>
        <v>0.343628129324443</v>
      </c>
      <c r="AT477" s="255">
        <f t="shared" si="1692"/>
        <v>0.408436160875626</v>
      </c>
      <c r="AU477" s="255">
        <f t="shared" si="1692"/>
        <v>-0.040626177508307</v>
      </c>
      <c r="AV477" s="254">
        <f t="shared" si="1692"/>
        <v>0.195171365861894</v>
      </c>
      <c r="AW477" s="255">
        <f t="shared" si="1692"/>
        <v>0.360005343307507</v>
      </c>
      <c r="AX477" s="255">
        <f t="shared" si="1692"/>
        <v>0.553625766583961</v>
      </c>
      <c r="AY477" s="255">
        <f t="shared" si="1692"/>
        <v>0.17958211143695</v>
      </c>
      <c r="AZ477" s="255">
        <f t="shared" si="1692"/>
        <v>0.13896525868533</v>
      </c>
      <c r="BA477" s="254">
        <f t="shared" si="1692"/>
        <v>0.289609105402297</v>
      </c>
      <c r="BB477" s="255">
        <f t="shared" si="1692"/>
        <v>-0.154830894149232</v>
      </c>
      <c r="BC477" s="255">
        <f t="shared" si="1692"/>
        <v>-0.066140356163558</v>
      </c>
      <c r="BD477" s="255">
        <f t="shared" si="1692"/>
        <v>0.148699462382299</v>
      </c>
      <c r="BE477" s="255">
        <f t="shared" si="1692"/>
        <v>0.533120160506599</v>
      </c>
      <c r="BF477" s="254">
        <f t="shared" si="1692"/>
        <v>0.116322921882824</v>
      </c>
      <c r="BG477" s="255">
        <f t="shared" si="1692"/>
        <v>0.520337801193151</v>
      </c>
      <c r="BH477" s="255">
        <f t="shared" si="1692"/>
        <v>0.475606608156944</v>
      </c>
      <c r="BI477" s="255">
        <f t="shared" si="1692"/>
        <v>0.268720917649605</v>
      </c>
      <c r="BJ477" s="255">
        <f t="shared" si="1692"/>
        <v>0.122032512013086</v>
      </c>
      <c r="BK477" s="254">
        <f t="shared" si="1692"/>
        <v>0.308904853688453</v>
      </c>
      <c r="BL477" s="255">
        <f t="shared" si="1692"/>
        <v>0.12075115935382</v>
      </c>
      <c r="BM477" s="255">
        <f t="shared" si="1692"/>
        <v>0.18212630105834</v>
      </c>
      <c r="BN477" s="255">
        <f t="shared" si="1692"/>
        <v>0.33810265048937</v>
      </c>
      <c r="BO477" s="255">
        <f t="shared" si="1692"/>
        <v>0.34383029905418</v>
      </c>
      <c r="BP477" s="254">
        <f t="shared" ref="BP477:CS477" si="1693">BP476/BK476-1</f>
        <v>0.25591170989783</v>
      </c>
      <c r="BQ477" s="255">
        <f t="shared" si="1693"/>
        <v>0.335000568375583</v>
      </c>
      <c r="BR477" s="255">
        <f t="shared" si="1693"/>
        <v>0.289284326963985</v>
      </c>
      <c r="BS477" s="255">
        <f t="shared" si="1693"/>
        <v>0.297196946759517</v>
      </c>
      <c r="BT477" s="255">
        <f t="shared" si="1693"/>
        <v>0.264944399240575</v>
      </c>
      <c r="BU477" s="254">
        <f t="shared" si="1693"/>
        <v>0.292322385616038</v>
      </c>
      <c r="BV477" s="255">
        <f t="shared" si="1693"/>
        <v>0.124812670299728</v>
      </c>
      <c r="BW477" s="255">
        <f t="shared" si="1693"/>
        <v>0.175896700143472</v>
      </c>
      <c r="BX477" s="255">
        <f t="shared" si="1693"/>
        <v>0.10438190238689</v>
      </c>
      <c r="BY477" s="255">
        <f t="shared" si="1693"/>
        <v>0.0988775367989967</v>
      </c>
      <c r="BZ477" s="254">
        <f t="shared" si="1693"/>
        <v>0.123091388980534</v>
      </c>
      <c r="CA477" s="275">
        <f t="shared" si="1693"/>
        <v>-0.395100607125013</v>
      </c>
      <c r="CB477" s="275">
        <f t="shared" si="1693"/>
        <v>-0.250378233284529</v>
      </c>
      <c r="CC477" s="275">
        <f t="shared" si="1693"/>
        <v>0.417208008898776</v>
      </c>
      <c r="CD477" s="275">
        <f t="shared" si="1693"/>
        <v>1.24590243902439</v>
      </c>
      <c r="CE477" s="254">
        <f t="shared" si="1693"/>
        <v>0.34838973117632</v>
      </c>
      <c r="CF477" s="275">
        <f t="shared" si="1693"/>
        <v>2.62405826846545</v>
      </c>
      <c r="CG477" s="275">
        <f t="shared" si="1693"/>
        <v>1.5728283337945</v>
      </c>
      <c r="CH477" s="275">
        <f t="shared" si="1693"/>
        <v>0.230199282613985</v>
      </c>
      <c r="CI477" s="275">
        <f t="shared" si="1693"/>
        <v>-0.141738884906931</v>
      </c>
      <c r="CJ477" s="254">
        <f t="shared" si="1693"/>
        <v>0.431743514217741</v>
      </c>
      <c r="CK477" s="275">
        <f t="shared" si="1693"/>
        <v>0.109218741366926</v>
      </c>
      <c r="CL477" s="275">
        <f t="shared" si="1693"/>
        <v>0.200883141859406</v>
      </c>
      <c r="CM477" s="154">
        <f t="shared" si="1693"/>
        <v>0.189758574928542</v>
      </c>
      <c r="CN477" s="275">
        <f t="shared" si="1693"/>
        <v>0.14229461068146</v>
      </c>
      <c r="CO477" s="254">
        <f t="shared" si="1693"/>
        <v>0.160419735352478</v>
      </c>
      <c r="CP477" s="275">
        <f t="shared" si="1693"/>
        <v>0.293619167403459</v>
      </c>
      <c r="CQ477" s="275">
        <f t="shared" si="1693"/>
        <v>0.151333326309357</v>
      </c>
      <c r="CR477" s="154">
        <f t="shared" si="1693"/>
        <v>0.191121740902412</v>
      </c>
      <c r="CS477" s="275">
        <f t="shared" si="1693"/>
        <v>0.102299614515486</v>
      </c>
      <c r="CT477" s="254">
        <f t="shared" ref="CT477" si="1694">CT476/CO476-1</f>
        <v>0.176517178075006</v>
      </c>
      <c r="CU477" s="275"/>
      <c r="CV477" s="275"/>
      <c r="CW477" s="154"/>
      <c r="CX477" s="275"/>
      <c r="CY477" s="254"/>
      <c r="CZ477" s="275"/>
      <c r="DA477" s="275"/>
      <c r="DB477" s="154"/>
      <c r="DC477" s="275"/>
      <c r="DD477" s="254"/>
      <c r="DE477" s="275"/>
      <c r="DF477" s="275"/>
      <c r="DG477" s="154"/>
      <c r="DH477" s="275"/>
      <c r="DI477" s="254"/>
      <c r="DJ477" s="275"/>
      <c r="DK477" s="275"/>
      <c r="DL477" s="154"/>
      <c r="DM477" s="275"/>
      <c r="DN477" s="254"/>
      <c r="DO477" s="275"/>
      <c r="DP477" s="275"/>
      <c r="DQ477" s="154"/>
      <c r="DR477" s="275"/>
      <c r="DS477" s="254"/>
    </row>
    <row r="478" hidden="1" outlineLevel="1" spans="2:123">
      <c r="B478" s="149"/>
      <c r="C478" s="246"/>
      <c r="D478" s="247"/>
      <c r="E478" s="247"/>
      <c r="F478" s="247"/>
      <c r="G478" s="247"/>
      <c r="H478" s="254"/>
      <c r="I478" s="255"/>
      <c r="J478" s="255"/>
      <c r="K478" s="255"/>
      <c r="L478" s="255"/>
      <c r="M478" s="254"/>
      <c r="N478" s="255"/>
      <c r="O478" s="255"/>
      <c r="P478" s="255"/>
      <c r="Q478" s="255"/>
      <c r="R478" s="254"/>
      <c r="S478" s="255"/>
      <c r="T478" s="255"/>
      <c r="U478" s="255"/>
      <c r="V478" s="255"/>
      <c r="W478" s="254"/>
      <c r="X478" s="255"/>
      <c r="Y478" s="255"/>
      <c r="Z478" s="255"/>
      <c r="AA478" s="255"/>
      <c r="AB478" s="254"/>
      <c r="AC478" s="255"/>
      <c r="AD478" s="255"/>
      <c r="AE478" s="255"/>
      <c r="AF478" s="255"/>
      <c r="AG478" s="254"/>
      <c r="AH478" s="255"/>
      <c r="AI478" s="255"/>
      <c r="AJ478" s="255"/>
      <c r="AK478" s="255"/>
      <c r="AL478" s="254"/>
      <c r="AM478" s="255"/>
      <c r="AN478" s="255"/>
      <c r="AO478" s="255"/>
      <c r="AP478" s="255"/>
      <c r="AQ478" s="254"/>
      <c r="AR478" s="255"/>
      <c r="AS478" s="255"/>
      <c r="AT478" s="255"/>
      <c r="AU478" s="255"/>
      <c r="AV478" s="254"/>
      <c r="AW478" s="255"/>
      <c r="AX478" s="255"/>
      <c r="AY478" s="255"/>
      <c r="AZ478" s="255"/>
      <c r="BA478" s="254"/>
      <c r="BB478" s="255"/>
      <c r="BC478" s="255"/>
      <c r="BD478" s="255"/>
      <c r="BE478" s="255"/>
      <c r="BF478" s="254"/>
      <c r="BG478" s="255"/>
      <c r="BH478" s="255"/>
      <c r="BI478" s="255"/>
      <c r="BJ478" s="255"/>
      <c r="BK478" s="254"/>
      <c r="BL478" s="255"/>
      <c r="BM478" s="255"/>
      <c r="BN478" s="255"/>
      <c r="BO478" s="255"/>
      <c r="BP478" s="254"/>
      <c r="BQ478" s="469"/>
      <c r="BR478" s="469"/>
      <c r="BS478" s="469"/>
      <c r="BT478" s="469"/>
      <c r="BU478" s="254"/>
      <c r="BV478" s="469"/>
      <c r="BW478" s="469"/>
      <c r="BX478" s="469"/>
      <c r="BY478" s="469"/>
      <c r="BZ478" s="254"/>
      <c r="CA478" s="382"/>
      <c r="CB478" s="382"/>
      <c r="CC478" s="399"/>
      <c r="CD478" s="469"/>
      <c r="CE478" s="254"/>
      <c r="CF478" s="265"/>
      <c r="CG478" s="265"/>
      <c r="CH478" s="265"/>
      <c r="CI478" s="265"/>
      <c r="CJ478" s="470"/>
      <c r="CK478" s="469"/>
      <c r="CL478" s="469"/>
      <c r="CM478" s="469"/>
      <c r="CN478" s="469"/>
      <c r="CO478" s="254"/>
      <c r="CP478" s="469"/>
      <c r="CQ478" s="469"/>
      <c r="CR478" s="469"/>
      <c r="CS478" s="469"/>
      <c r="CT478" s="254"/>
      <c r="CU478" s="469"/>
      <c r="CV478" s="469"/>
      <c r="CW478" s="469"/>
      <c r="CX478" s="469"/>
      <c r="CY478" s="254"/>
      <c r="CZ478" s="469"/>
      <c r="DA478" s="469"/>
      <c r="DB478" s="469"/>
      <c r="DC478" s="469"/>
      <c r="DD478" s="254"/>
      <c r="DE478" s="469"/>
      <c r="DF478" s="469"/>
      <c r="DG478" s="469"/>
      <c r="DH478" s="469"/>
      <c r="DI478" s="254"/>
      <c r="DJ478" s="469"/>
      <c r="DK478" s="469"/>
      <c r="DL478" s="469"/>
      <c r="DM478" s="469"/>
      <c r="DN478" s="254"/>
      <c r="DO478" s="469"/>
      <c r="DP478" s="469"/>
      <c r="DQ478" s="469"/>
      <c r="DR478" s="469"/>
      <c r="DS478" s="254"/>
    </row>
    <row r="479" hidden="1" outlineLevel="1" spans="2:123">
      <c r="B479" s="245" t="s">
        <v>475</v>
      </c>
      <c r="C479" s="246"/>
      <c r="D479" s="247"/>
      <c r="E479" s="247"/>
      <c r="F479" s="247"/>
      <c r="G479" s="247"/>
      <c r="H479" s="254"/>
      <c r="I479" s="255"/>
      <c r="J479" s="255"/>
      <c r="K479" s="255"/>
      <c r="L479" s="255"/>
      <c r="M479" s="254"/>
      <c r="N479" s="255"/>
      <c r="O479" s="255"/>
      <c r="P479" s="255"/>
      <c r="Q479" s="255"/>
      <c r="R479" s="254"/>
      <c r="S479" s="255"/>
      <c r="T479" s="255"/>
      <c r="U479" s="255"/>
      <c r="V479" s="255"/>
      <c r="W479" s="254"/>
      <c r="X479" s="255"/>
      <c r="Y479" s="255"/>
      <c r="Z479" s="255"/>
      <c r="AA479" s="255"/>
      <c r="AB479" s="254"/>
      <c r="AC479" s="255"/>
      <c r="AD479" s="255"/>
      <c r="AE479" s="255"/>
      <c r="AF479" s="255"/>
      <c r="AG479" s="254"/>
      <c r="AH479" s="255"/>
      <c r="AI479" s="255"/>
      <c r="AJ479" s="255"/>
      <c r="AK479" s="255"/>
      <c r="AL479" s="254"/>
      <c r="AM479" s="255"/>
      <c r="AN479" s="255"/>
      <c r="AO479" s="255"/>
      <c r="AP479" s="255"/>
      <c r="AQ479" s="254"/>
      <c r="AR479" s="255"/>
      <c r="AS479" s="255"/>
      <c r="AT479" s="255"/>
      <c r="AU479" s="255"/>
      <c r="AV479" s="254"/>
      <c r="AW479" s="255"/>
      <c r="AX479" s="255"/>
      <c r="AY479" s="255"/>
      <c r="AZ479" s="255"/>
      <c r="BA479" s="254"/>
      <c r="BB479" s="255"/>
      <c r="BC479" s="255"/>
      <c r="BD479" s="255"/>
      <c r="BE479" s="255"/>
      <c r="BF479" s="254"/>
      <c r="BG479" s="255"/>
      <c r="BH479" s="255"/>
      <c r="BI479" s="471">
        <v>57</v>
      </c>
      <c r="BJ479" s="471">
        <v>51</v>
      </c>
      <c r="BK479" s="472"/>
      <c r="BL479" s="471"/>
      <c r="BM479" s="471">
        <v>43</v>
      </c>
      <c r="BN479" s="471">
        <v>24</v>
      </c>
      <c r="BO479" s="471">
        <v>23</v>
      </c>
      <c r="BP479" s="472">
        <f>BO479</f>
        <v>23</v>
      </c>
      <c r="BQ479" s="471">
        <v>20</v>
      </c>
      <c r="BR479" s="471">
        <v>17</v>
      </c>
      <c r="BS479" s="471">
        <v>14</v>
      </c>
      <c r="BT479" s="471">
        <v>13</v>
      </c>
      <c r="BU479" s="472">
        <f>BT479</f>
        <v>13</v>
      </c>
      <c r="BV479" s="777" t="s">
        <v>208</v>
      </c>
      <c r="BW479" s="777" t="s">
        <v>208</v>
      </c>
      <c r="BX479" s="777" t="s">
        <v>208</v>
      </c>
      <c r="BY479" s="469"/>
      <c r="BZ479" s="778" t="s">
        <v>208</v>
      </c>
      <c r="CA479" s="382"/>
      <c r="CB479" s="382"/>
      <c r="CC479" s="382"/>
      <c r="CD479" s="399"/>
      <c r="CE479" s="397"/>
      <c r="CF479" s="399"/>
      <c r="CG479" s="399"/>
      <c r="CH479" s="399"/>
      <c r="CI479" s="399"/>
      <c r="CJ479" s="397"/>
      <c r="CK479" s="382"/>
      <c r="CL479" s="382"/>
      <c r="CM479" s="382"/>
      <c r="CN479" s="382"/>
      <c r="CO479" s="397"/>
      <c r="CP479" s="382"/>
      <c r="CQ479" s="382"/>
      <c r="CR479" s="382"/>
      <c r="CS479" s="382"/>
      <c r="CT479" s="397"/>
      <c r="CU479" s="382"/>
      <c r="CV479" s="382"/>
      <c r="CW479" s="382"/>
      <c r="CX479" s="382"/>
      <c r="CY479" s="397"/>
      <c r="CZ479" s="382"/>
      <c r="DA479" s="382"/>
      <c r="DB479" s="382"/>
      <c r="DC479" s="382"/>
      <c r="DD479" s="397"/>
      <c r="DE479" s="382"/>
      <c r="DF479" s="382"/>
      <c r="DG479" s="382"/>
      <c r="DH479" s="382"/>
      <c r="DI479" s="397"/>
      <c r="DJ479" s="382"/>
      <c r="DK479" s="382"/>
      <c r="DL479" s="382"/>
      <c r="DM479" s="382"/>
      <c r="DN479" s="397"/>
      <c r="DO479" s="382"/>
      <c r="DP479" s="382"/>
      <c r="DQ479" s="382"/>
      <c r="DR479" s="382"/>
      <c r="DS479" s="397"/>
    </row>
    <row r="480" hidden="1" outlineLevel="1" spans="2:123">
      <c r="B480" s="245" t="s">
        <v>476</v>
      </c>
      <c r="C480" s="246"/>
      <c r="D480" s="247"/>
      <c r="E480" s="247"/>
      <c r="F480" s="247"/>
      <c r="G480" s="247"/>
      <c r="H480" s="254"/>
      <c r="I480" s="255"/>
      <c r="J480" s="255"/>
      <c r="K480" s="255"/>
      <c r="L480" s="255"/>
      <c r="M480" s="254"/>
      <c r="N480" s="255"/>
      <c r="O480" s="255"/>
      <c r="P480" s="255"/>
      <c r="Q480" s="255"/>
      <c r="R480" s="254"/>
      <c r="S480" s="255"/>
      <c r="T480" s="255"/>
      <c r="U480" s="255"/>
      <c r="V480" s="255"/>
      <c r="W480" s="254"/>
      <c r="X480" s="255"/>
      <c r="Y480" s="255"/>
      <c r="Z480" s="255"/>
      <c r="AA480" s="255"/>
      <c r="AB480" s="254"/>
      <c r="AC480" s="255"/>
      <c r="AD480" s="255"/>
      <c r="AE480" s="255"/>
      <c r="AF480" s="255"/>
      <c r="AG480" s="254"/>
      <c r="AH480" s="255"/>
      <c r="AI480" s="255"/>
      <c r="AJ480" s="255"/>
      <c r="AK480" s="255"/>
      <c r="AL480" s="254"/>
      <c r="AM480" s="255"/>
      <c r="AN480" s="255"/>
      <c r="AO480" s="255"/>
      <c r="AP480" s="255"/>
      <c r="AQ480" s="254"/>
      <c r="AR480" s="255"/>
      <c r="AS480" s="255"/>
      <c r="AT480" s="255"/>
      <c r="AU480" s="255"/>
      <c r="AV480" s="254"/>
      <c r="AW480" s="255"/>
      <c r="AX480" s="255"/>
      <c r="AY480" s="255"/>
      <c r="AZ480" s="255"/>
      <c r="BA480" s="254"/>
      <c r="BB480" s="255"/>
      <c r="BC480" s="255"/>
      <c r="BD480" s="255"/>
      <c r="BE480" s="255"/>
      <c r="BF480" s="254"/>
      <c r="BG480" s="255"/>
      <c r="BH480" s="255"/>
      <c r="BI480" s="471"/>
      <c r="BJ480" s="471"/>
      <c r="BK480" s="472"/>
      <c r="BL480" s="471"/>
      <c r="BM480" s="471"/>
      <c r="BN480" s="471"/>
      <c r="BO480" s="471">
        <v>24</v>
      </c>
      <c r="BP480" s="472">
        <f>BO480</f>
        <v>24</v>
      </c>
      <c r="BQ480" s="469"/>
      <c r="BR480" s="471">
        <v>23</v>
      </c>
      <c r="BS480" s="471">
        <v>43</v>
      </c>
      <c r="BT480" s="777" t="s">
        <v>208</v>
      </c>
      <c r="BU480" s="779" t="s">
        <v>208</v>
      </c>
      <c r="BV480" s="777" t="s">
        <v>208</v>
      </c>
      <c r="BW480" s="777" t="s">
        <v>208</v>
      </c>
      <c r="BX480" s="777" t="s">
        <v>208</v>
      </c>
      <c r="BY480" s="471">
        <v>51</v>
      </c>
      <c r="BZ480" s="778" t="s">
        <v>208</v>
      </c>
      <c r="CA480" s="469"/>
      <c r="CB480" s="469"/>
      <c r="CC480" s="471">
        <v>70</v>
      </c>
      <c r="CD480" s="471">
        <v>100</v>
      </c>
      <c r="CE480" s="254"/>
      <c r="CF480" s="469"/>
      <c r="CG480" s="469"/>
      <c r="CH480" s="469"/>
      <c r="CI480" s="469"/>
      <c r="CJ480" s="254"/>
      <c r="CK480" s="469"/>
      <c r="CL480" s="469"/>
      <c r="CM480" s="469"/>
      <c r="CN480" s="469"/>
      <c r="CO480" s="254"/>
      <c r="CP480" s="469"/>
      <c r="CQ480" s="469"/>
      <c r="CR480" s="469"/>
      <c r="CS480" s="469"/>
      <c r="CT480" s="254"/>
      <c r="CU480" s="469"/>
      <c r="CV480" s="469"/>
      <c r="CW480" s="469"/>
      <c r="CX480" s="469"/>
      <c r="CY480" s="254"/>
      <c r="CZ480" s="469"/>
      <c r="DA480" s="469"/>
      <c r="DB480" s="469"/>
      <c r="DC480" s="469"/>
      <c r="DD480" s="254"/>
      <c r="DE480" s="469"/>
      <c r="DF480" s="469"/>
      <c r="DG480" s="469"/>
      <c r="DH480" s="469"/>
      <c r="DI480" s="254"/>
      <c r="DJ480" s="469"/>
      <c r="DK480" s="469"/>
      <c r="DL480" s="469"/>
      <c r="DM480" s="469"/>
      <c r="DN480" s="254"/>
      <c r="DO480" s="469"/>
      <c r="DP480" s="469"/>
      <c r="DQ480" s="469"/>
      <c r="DR480" s="469"/>
      <c r="DS480" s="254"/>
    </row>
    <row r="481" hidden="1" outlineLevel="1" spans="2:123">
      <c r="B481" s="245" t="s">
        <v>477</v>
      </c>
      <c r="C481" s="246"/>
      <c r="D481" s="247"/>
      <c r="E481" s="247"/>
      <c r="F481" s="247"/>
      <c r="G481" s="247"/>
      <c r="H481" s="254"/>
      <c r="I481" s="255"/>
      <c r="J481" s="255"/>
      <c r="K481" s="255"/>
      <c r="L481" s="255"/>
      <c r="M481" s="254"/>
      <c r="N481" s="255"/>
      <c r="O481" s="255"/>
      <c r="P481" s="255"/>
      <c r="Q481" s="255"/>
      <c r="R481" s="254"/>
      <c r="S481" s="255"/>
      <c r="T481" s="255"/>
      <c r="U481" s="255"/>
      <c r="V481" s="255"/>
      <c r="W481" s="254"/>
      <c r="X481" s="255"/>
      <c r="Y481" s="255"/>
      <c r="Z481" s="255"/>
      <c r="AA481" s="255"/>
      <c r="AB481" s="254"/>
      <c r="AC481" s="255"/>
      <c r="AD481" s="255"/>
      <c r="AE481" s="255"/>
      <c r="AF481" s="255"/>
      <c r="AG481" s="254"/>
      <c r="AH481" s="255"/>
      <c r="AI481" s="255"/>
      <c r="AJ481" s="255"/>
      <c r="AK481" s="255"/>
      <c r="AL481" s="254"/>
      <c r="AM481" s="255"/>
      <c r="AN481" s="255"/>
      <c r="AO481" s="255"/>
      <c r="AP481" s="255"/>
      <c r="AQ481" s="254"/>
      <c r="AR481" s="255"/>
      <c r="AS481" s="255"/>
      <c r="AT481" s="255"/>
      <c r="AU481" s="255"/>
      <c r="AV481" s="254"/>
      <c r="AW481" s="255"/>
      <c r="AX481" s="255"/>
      <c r="AY481" s="255"/>
      <c r="AZ481" s="255"/>
      <c r="BA481" s="254"/>
      <c r="BB481" s="255"/>
      <c r="BC481" s="255"/>
      <c r="BD481" s="255"/>
      <c r="BE481" s="255"/>
      <c r="BF481" s="254"/>
      <c r="BG481" s="255"/>
      <c r="BH481" s="255"/>
      <c r="BI481" s="471"/>
      <c r="BJ481" s="471"/>
      <c r="BK481" s="472"/>
      <c r="BL481" s="471"/>
      <c r="BM481" s="471"/>
      <c r="BN481" s="471"/>
      <c r="BO481" s="471"/>
      <c r="BP481" s="472"/>
      <c r="BQ481" s="469"/>
      <c r="BR481" s="471"/>
      <c r="BS481" s="471"/>
      <c r="BT481" s="154"/>
      <c r="BU481" s="391"/>
      <c r="BV481" s="154"/>
      <c r="BW481" s="154"/>
      <c r="BX481" s="154"/>
      <c r="BY481" s="471"/>
      <c r="BZ481" s="155"/>
      <c r="CA481" s="469"/>
      <c r="CB481" s="469"/>
      <c r="CC481" s="471"/>
      <c r="CD481" s="471">
        <v>38</v>
      </c>
      <c r="CE481" s="254"/>
      <c r="CF481" s="469"/>
      <c r="CG481" s="469"/>
      <c r="CH481" s="469"/>
      <c r="CI481" s="469"/>
      <c r="CJ481" s="254"/>
      <c r="CK481" s="469"/>
      <c r="CL481" s="469"/>
      <c r="CM481" s="469"/>
      <c r="CN481" s="469"/>
      <c r="CO481" s="254"/>
      <c r="CP481" s="469"/>
      <c r="CQ481" s="469"/>
      <c r="CR481" s="469"/>
      <c r="CS481" s="469"/>
      <c r="CT481" s="254"/>
      <c r="CU481" s="469"/>
      <c r="CV481" s="469"/>
      <c r="CW481" s="469"/>
      <c r="CX481" s="469"/>
      <c r="CY481" s="254"/>
      <c r="CZ481" s="469"/>
      <c r="DA481" s="469"/>
      <c r="DB481" s="469"/>
      <c r="DC481" s="469"/>
      <c r="DD481" s="254"/>
      <c r="DE481" s="469"/>
      <c r="DF481" s="469"/>
      <c r="DG481" s="469"/>
      <c r="DH481" s="469"/>
      <c r="DI481" s="254"/>
      <c r="DJ481" s="469"/>
      <c r="DK481" s="469"/>
      <c r="DL481" s="469"/>
      <c r="DM481" s="469"/>
      <c r="DN481" s="254"/>
      <c r="DO481" s="469"/>
      <c r="DP481" s="469"/>
      <c r="DQ481" s="469"/>
      <c r="DR481" s="469"/>
      <c r="DS481" s="254"/>
    </row>
    <row r="482" hidden="1" outlineLevel="1" spans="2:123">
      <c r="B482" s="245" t="s">
        <v>478</v>
      </c>
      <c r="C482" s="246"/>
      <c r="D482" s="247"/>
      <c r="E482" s="247"/>
      <c r="F482" s="247"/>
      <c r="G482" s="247"/>
      <c r="H482" s="254"/>
      <c r="I482" s="255"/>
      <c r="J482" s="255"/>
      <c r="K482" s="255"/>
      <c r="L482" s="255"/>
      <c r="M482" s="254"/>
      <c r="N482" s="255"/>
      <c r="O482" s="255"/>
      <c r="P482" s="255"/>
      <c r="Q482" s="255"/>
      <c r="R482" s="254"/>
      <c r="S482" s="255"/>
      <c r="T482" s="255"/>
      <c r="U482" s="255"/>
      <c r="V482" s="255"/>
      <c r="W482" s="254"/>
      <c r="X482" s="255"/>
      <c r="Y482" s="255"/>
      <c r="Z482" s="255"/>
      <c r="AA482" s="255"/>
      <c r="AB482" s="254"/>
      <c r="AC482" s="255"/>
      <c r="AD482" s="255"/>
      <c r="AE482" s="255"/>
      <c r="AF482" s="255"/>
      <c r="AG482" s="254"/>
      <c r="AH482" s="255"/>
      <c r="AI482" s="255"/>
      <c r="AJ482" s="255"/>
      <c r="AK482" s="255"/>
      <c r="AL482" s="254"/>
      <c r="AM482" s="255"/>
      <c r="AN482" s="255"/>
      <c r="AO482" s="255"/>
      <c r="AP482" s="255"/>
      <c r="AQ482" s="254"/>
      <c r="AR482" s="255"/>
      <c r="AS482" s="255"/>
      <c r="AT482" s="255"/>
      <c r="AU482" s="255"/>
      <c r="AV482" s="254"/>
      <c r="AW482" s="255"/>
      <c r="AX482" s="255"/>
      <c r="AY482" s="255"/>
      <c r="AZ482" s="255"/>
      <c r="BA482" s="254"/>
      <c r="BB482" s="255"/>
      <c r="BC482" s="255"/>
      <c r="BD482" s="255"/>
      <c r="BE482" s="255"/>
      <c r="BF482" s="254"/>
      <c r="BG482" s="255"/>
      <c r="BH482" s="255"/>
      <c r="BI482" s="471"/>
      <c r="BJ482" s="471"/>
      <c r="BK482" s="472"/>
      <c r="BL482" s="471"/>
      <c r="BM482" s="471"/>
      <c r="BN482" s="471"/>
      <c r="BO482" s="471"/>
      <c r="BP482" s="472"/>
      <c r="BQ482" s="469"/>
      <c r="BR482" s="471"/>
      <c r="BS482" s="471"/>
      <c r="BT482" s="154"/>
      <c r="BU482" s="391"/>
      <c r="BV482" s="154"/>
      <c r="BW482" s="154"/>
      <c r="BX482" s="154"/>
      <c r="BY482" s="471"/>
      <c r="BZ482" s="155"/>
      <c r="CA482" s="469"/>
      <c r="CB482" s="469"/>
      <c r="CC482" s="471"/>
      <c r="CD482" s="471"/>
      <c r="CE482" s="254"/>
      <c r="CF482" s="436" t="s">
        <v>479</v>
      </c>
      <c r="CG482" s="473">
        <v>150</v>
      </c>
      <c r="CH482" s="474">
        <v>200</v>
      </c>
      <c r="CI482" s="154" t="s">
        <v>314</v>
      </c>
      <c r="CJ482" s="254"/>
      <c r="CK482" s="154" t="s">
        <v>314</v>
      </c>
      <c r="CL482" s="154" t="s">
        <v>314</v>
      </c>
      <c r="CM482" s="154" t="s">
        <v>314</v>
      </c>
      <c r="CN482" s="154" t="s">
        <v>314</v>
      </c>
      <c r="CO482" s="254"/>
      <c r="CP482" s="154" t="s">
        <v>314</v>
      </c>
      <c r="CQ482" s="154" t="s">
        <v>314</v>
      </c>
      <c r="CR482" s="154" t="s">
        <v>314</v>
      </c>
      <c r="CS482" s="475" t="s">
        <v>314</v>
      </c>
      <c r="CT482" s="254"/>
      <c r="CU482" s="469"/>
      <c r="CV482" s="469"/>
      <c r="CW482" s="469"/>
      <c r="CX482" s="469"/>
      <c r="CY482" s="254"/>
      <c r="CZ482" s="469"/>
      <c r="DA482" s="469"/>
      <c r="DB482" s="469"/>
      <c r="DC482" s="469"/>
      <c r="DD482" s="254"/>
      <c r="DE482" s="469"/>
      <c r="DF482" s="469"/>
      <c r="DG482" s="469"/>
      <c r="DH482" s="469"/>
      <c r="DI482" s="254"/>
      <c r="DJ482" s="469"/>
      <c r="DK482" s="469"/>
      <c r="DL482" s="469"/>
      <c r="DM482" s="469"/>
      <c r="DN482" s="254"/>
      <c r="DO482" s="469"/>
      <c r="DP482" s="469"/>
      <c r="DQ482" s="469"/>
      <c r="DR482" s="469"/>
      <c r="DS482" s="254"/>
    </row>
    <row r="483" hidden="1" outlineLevel="1" spans="2:123">
      <c r="B483" s="432"/>
      <c r="C483" s="246"/>
      <c r="D483" s="247"/>
      <c r="E483" s="247"/>
      <c r="F483" s="247"/>
      <c r="G483" s="247"/>
      <c r="H483" s="246"/>
      <c r="I483" s="247"/>
      <c r="J483" s="247"/>
      <c r="K483" s="247"/>
      <c r="L483" s="247"/>
      <c r="M483" s="246"/>
      <c r="N483" s="247"/>
      <c r="O483" s="247"/>
      <c r="P483" s="247"/>
      <c r="Q483" s="247"/>
      <c r="R483" s="246"/>
      <c r="S483" s="247"/>
      <c r="T483" s="247"/>
      <c r="U483" s="247"/>
      <c r="V483" s="247"/>
      <c r="W483" s="246"/>
      <c r="X483" s="247"/>
      <c r="Y483" s="247"/>
      <c r="Z483" s="247"/>
      <c r="AA483" s="247"/>
      <c r="AB483" s="246"/>
      <c r="AC483" s="247"/>
      <c r="AD483" s="247"/>
      <c r="AE483" s="247"/>
      <c r="AF483" s="247"/>
      <c r="AG483" s="246"/>
      <c r="AH483" s="247"/>
      <c r="AI483" s="247"/>
      <c r="AJ483" s="247"/>
      <c r="AK483" s="247"/>
      <c r="AL483" s="246"/>
      <c r="AM483" s="247"/>
      <c r="AN483" s="247"/>
      <c r="AO483" s="247"/>
      <c r="AP483" s="247"/>
      <c r="AQ483" s="246"/>
      <c r="AR483" s="247"/>
      <c r="AS483" s="247"/>
      <c r="AT483" s="247"/>
      <c r="AU483" s="247"/>
      <c r="AV483" s="246"/>
      <c r="AW483" s="247"/>
      <c r="AX483" s="247"/>
      <c r="AY483" s="247"/>
      <c r="AZ483" s="247"/>
      <c r="BA483" s="246"/>
      <c r="BB483" s="247"/>
      <c r="BC483" s="247"/>
      <c r="BD483" s="247"/>
      <c r="BE483" s="247"/>
      <c r="BF483" s="246"/>
      <c r="BG483" s="247"/>
      <c r="BH483" s="247"/>
      <c r="BI483" s="247"/>
      <c r="BJ483" s="247"/>
      <c r="BK483" s="246"/>
      <c r="BL483" s="247"/>
      <c r="BM483" s="247"/>
      <c r="BN483" s="247"/>
      <c r="BO483" s="247"/>
      <c r="BP483" s="246"/>
      <c r="BQ483" s="247"/>
      <c r="BR483" s="247"/>
      <c r="BS483" s="247"/>
      <c r="BT483" s="247"/>
      <c r="BU483" s="246"/>
      <c r="BV483" s="247"/>
      <c r="BW483" s="247"/>
      <c r="BX483" s="247"/>
      <c r="BY483" s="247"/>
      <c r="BZ483" s="246"/>
      <c r="CA483" s="247"/>
      <c r="CB483" s="247"/>
      <c r="CC483" s="247"/>
      <c r="CD483" s="249"/>
      <c r="CE483" s="246"/>
      <c r="CF483" s="247"/>
      <c r="CG483" s="247"/>
      <c r="CH483" s="247"/>
      <c r="CI483" s="247"/>
      <c r="CJ483" s="246"/>
      <c r="CK483" s="247"/>
      <c r="CL483" s="247"/>
      <c r="CM483" s="247"/>
      <c r="CN483" s="247"/>
      <c r="CO483" s="246"/>
      <c r="CP483" s="247"/>
      <c r="CQ483" s="247"/>
      <c r="CR483" s="247"/>
      <c r="CS483" s="247"/>
      <c r="CT483" s="246"/>
      <c r="CU483" s="247"/>
      <c r="CV483" s="247"/>
      <c r="CW483" s="247"/>
      <c r="CX483" s="247"/>
      <c r="CY483" s="246"/>
      <c r="CZ483" s="247"/>
      <c r="DA483" s="247"/>
      <c r="DB483" s="247"/>
      <c r="DC483" s="247"/>
      <c r="DD483" s="246"/>
      <c r="DE483" s="247"/>
      <c r="DF483" s="247"/>
      <c r="DG483" s="247"/>
      <c r="DH483" s="247"/>
      <c r="DI483" s="246"/>
      <c r="DJ483" s="247"/>
      <c r="DK483" s="247"/>
      <c r="DL483" s="247"/>
      <c r="DM483" s="247"/>
      <c r="DN483" s="246"/>
      <c r="DO483" s="247"/>
      <c r="DP483" s="247"/>
      <c r="DQ483" s="247"/>
      <c r="DR483" s="247"/>
      <c r="DS483" s="246"/>
    </row>
    <row r="484" s="96" customFormat="1" hidden="1" outlineLevel="1" spans="2:123">
      <c r="B484" s="379" t="s">
        <v>60</v>
      </c>
      <c r="C484" s="264"/>
      <c r="D484" s="265"/>
      <c r="E484" s="265"/>
      <c r="F484" s="265"/>
      <c r="G484" s="265"/>
      <c r="H484" s="264"/>
      <c r="I484" s="265"/>
      <c r="J484" s="265"/>
      <c r="K484" s="265"/>
      <c r="L484" s="265"/>
      <c r="M484" s="264"/>
      <c r="N484" s="265">
        <v>3.157</v>
      </c>
      <c r="O484" s="265">
        <v>2.061</v>
      </c>
      <c r="P484" s="265">
        <v>2.03</v>
      </c>
      <c r="Q484" s="265">
        <v>7.152</v>
      </c>
      <c r="R484" s="264">
        <f>SUM(N484:Q484)</f>
        <v>14.4</v>
      </c>
      <c r="S484" s="265">
        <v>3.875</v>
      </c>
      <c r="T484" s="265">
        <v>2.963</v>
      </c>
      <c r="U484" s="265">
        <v>2.58</v>
      </c>
      <c r="V484" s="265">
        <v>9.982</v>
      </c>
      <c r="W484" s="264">
        <f>SUM(S484:V484)</f>
        <v>19.4</v>
      </c>
      <c r="X484" s="265">
        <v>2.198</v>
      </c>
      <c r="Y484" s="265">
        <v>2.818</v>
      </c>
      <c r="Z484" s="265">
        <v>2.776</v>
      </c>
      <c r="AA484" s="265">
        <v>3.053</v>
      </c>
      <c r="AB484" s="264">
        <f>SUM(X484:AA484)</f>
        <v>10.845</v>
      </c>
      <c r="AC484" s="265">
        <v>4.632</v>
      </c>
      <c r="AD484" s="265">
        <v>3.31</v>
      </c>
      <c r="AE484" s="265">
        <v>5.543</v>
      </c>
      <c r="AF484" s="265">
        <v>4.519</v>
      </c>
      <c r="AG484" s="264">
        <f>SUM(AC484:AF484)</f>
        <v>18.004</v>
      </c>
      <c r="AH484" s="265">
        <v>4.993</v>
      </c>
      <c r="AI484" s="265">
        <v>4.704</v>
      </c>
      <c r="AJ484" s="265">
        <v>3.663</v>
      </c>
      <c r="AK484" s="265">
        <v>7.865</v>
      </c>
      <c r="AL484" s="264">
        <f>SUM(AH484:AK484)</f>
        <v>21.225</v>
      </c>
      <c r="AM484" s="265">
        <v>3.856</v>
      </c>
      <c r="AN484" s="265">
        <v>3.008</v>
      </c>
      <c r="AO484" s="271">
        <v>4.049</v>
      </c>
      <c r="AP484" s="271">
        <v>6.457</v>
      </c>
      <c r="AQ484" s="264">
        <f>SUM(AM484:AP484)</f>
        <v>17.37</v>
      </c>
      <c r="AR484" s="265">
        <v>4.404</v>
      </c>
      <c r="AS484" s="271">
        <v>3.325</v>
      </c>
      <c r="AT484" s="271">
        <v>4.597</v>
      </c>
      <c r="AU484" s="271">
        <v>3.781</v>
      </c>
      <c r="AV484" s="264">
        <f>SUM(AR484:AU484)</f>
        <v>16.107</v>
      </c>
      <c r="AW484" s="265">
        <v>3.276</v>
      </c>
      <c r="AX484" s="265">
        <v>3.496</v>
      </c>
      <c r="AY484" s="265">
        <v>3.279</v>
      </c>
      <c r="AZ484" s="271">
        <v>-0.552</v>
      </c>
      <c r="BA484" s="264">
        <f>SUM(AW484:AZ484)</f>
        <v>9.499</v>
      </c>
      <c r="BB484" s="271">
        <v>0.981</v>
      </c>
      <c r="BC484" s="265">
        <v>1.82</v>
      </c>
      <c r="BD484" s="265">
        <v>1.569</v>
      </c>
      <c r="BE484" s="271">
        <v>1.456</v>
      </c>
      <c r="BF484" s="264">
        <f>SUM(BB484:BE484)</f>
        <v>5.826</v>
      </c>
      <c r="BG484" s="271">
        <v>2.069</v>
      </c>
      <c r="BH484" s="271">
        <v>4.636</v>
      </c>
      <c r="BI484" s="271">
        <v>5.709</v>
      </c>
      <c r="BJ484" s="271">
        <v>9.898</v>
      </c>
      <c r="BK484" s="264">
        <f>SUM(BG484:BJ484)</f>
        <v>22.312</v>
      </c>
      <c r="BL484" s="271">
        <v>2.836</v>
      </c>
      <c r="BM484" s="265">
        <v>6.952</v>
      </c>
      <c r="BN484" s="271">
        <v>9.319</v>
      </c>
      <c r="BO484" s="271">
        <f>35.58-BN484-BM484-BL484</f>
        <v>16.473</v>
      </c>
      <c r="BP484" s="264">
        <f>SUM(BL484:BO484)</f>
        <v>35.58</v>
      </c>
      <c r="BQ484" s="265">
        <v>11.223</v>
      </c>
      <c r="BR484" s="265">
        <v>13.094</v>
      </c>
      <c r="BS484" s="265">
        <v>15.019</v>
      </c>
      <c r="BT484" s="265">
        <f>62.588-SUM(BQ484:BS484)</f>
        <v>23.252</v>
      </c>
      <c r="BU484" s="264">
        <f>SUM(BQ484:BT484)</f>
        <v>62.588</v>
      </c>
      <c r="BV484" s="265">
        <v>12.633</v>
      </c>
      <c r="BW484" s="265">
        <v>16.619</v>
      </c>
      <c r="BX484" s="265">
        <v>16.944</v>
      </c>
      <c r="BY484" s="265">
        <f>72.559-SUM(BV484:BX484)</f>
        <v>26.363</v>
      </c>
      <c r="BZ484" s="264">
        <f>SUM(BV484:BY484)</f>
        <v>72.559</v>
      </c>
      <c r="CA484" s="265">
        <v>-0.269</v>
      </c>
      <c r="CB484" s="265">
        <v>2.587</v>
      </c>
      <c r="CC484" s="265">
        <v>1.304</v>
      </c>
      <c r="CD484" s="265">
        <f>10.502-CC484-CB484-CA484</f>
        <v>6.88</v>
      </c>
      <c r="CE484" s="264">
        <f>SUM(CA484:CD484)</f>
        <v>10.502</v>
      </c>
      <c r="CF484" s="265">
        <v>14.506</v>
      </c>
      <c r="CG484" s="265">
        <v>22.24</v>
      </c>
      <c r="CH484" s="265">
        <v>27.45</v>
      </c>
      <c r="CI484" s="265">
        <f>77.283-CF484-CG484-CH484</f>
        <v>13.087</v>
      </c>
      <c r="CJ484" s="264">
        <f>SUM(CF484:CI484)</f>
        <v>77.283</v>
      </c>
      <c r="CK484" s="265">
        <v>19.527</v>
      </c>
      <c r="CL484" s="265">
        <v>29.626</v>
      </c>
      <c r="CM484" s="265">
        <v>24.911</v>
      </c>
      <c r="CN484" s="265">
        <f>107.083-CM484-CL484-CK484</f>
        <v>33.019</v>
      </c>
      <c r="CO484" s="264">
        <f>SUM(CK484:CN484)</f>
        <v>107.083</v>
      </c>
      <c r="CP484" s="265">
        <v>44.083</v>
      </c>
      <c r="CQ484" s="265">
        <v>48.683</v>
      </c>
      <c r="CR484" s="265">
        <v>53.527</v>
      </c>
      <c r="CS484" s="463">
        <v>36.3</v>
      </c>
      <c r="CT484" s="464">
        <f>SUM(CP484:CS484)</f>
        <v>182.593</v>
      </c>
      <c r="CU484" s="265"/>
      <c r="CV484" s="265"/>
      <c r="CW484" s="265"/>
      <c r="CX484" s="265"/>
      <c r="CY484" s="264"/>
      <c r="CZ484" s="265"/>
      <c r="DA484" s="265"/>
      <c r="DB484" s="265"/>
      <c r="DC484" s="265"/>
      <c r="DD484" s="264"/>
      <c r="DE484" s="265"/>
      <c r="DF484" s="265"/>
      <c r="DG484" s="265"/>
      <c r="DH484" s="265"/>
      <c r="DI484" s="264"/>
      <c r="DJ484" s="265"/>
      <c r="DK484" s="265"/>
      <c r="DL484" s="265"/>
      <c r="DM484" s="265"/>
      <c r="DN484" s="264"/>
      <c r="DO484" s="265"/>
      <c r="DP484" s="265"/>
      <c r="DQ484" s="265"/>
      <c r="DR484" s="265"/>
      <c r="DS484" s="264"/>
    </row>
    <row r="485" hidden="1" outlineLevel="1" spans="2:123">
      <c r="B485" s="149" t="s">
        <v>69</v>
      </c>
      <c r="C485" s="252"/>
      <c r="D485" s="253"/>
      <c r="E485" s="253"/>
      <c r="F485" s="253"/>
      <c r="G485" s="253"/>
      <c r="H485" s="252"/>
      <c r="I485" s="253"/>
      <c r="J485" s="253"/>
      <c r="K485" s="253"/>
      <c r="L485" s="253"/>
      <c r="M485" s="252"/>
      <c r="N485" s="255"/>
      <c r="O485" s="255"/>
      <c r="P485" s="255"/>
      <c r="Q485" s="255"/>
      <c r="R485" s="254"/>
      <c r="S485" s="255">
        <f t="shared" ref="S485:AX485" si="1695">S484/N484-1</f>
        <v>0.227431105479886</v>
      </c>
      <c r="T485" s="255">
        <f t="shared" si="1695"/>
        <v>0.437651625424551</v>
      </c>
      <c r="U485" s="255">
        <f t="shared" si="1695"/>
        <v>0.270935960591133</v>
      </c>
      <c r="V485" s="255">
        <f t="shared" si="1695"/>
        <v>0.39569351230425</v>
      </c>
      <c r="W485" s="254">
        <f t="shared" si="1695"/>
        <v>0.347222222222222</v>
      </c>
      <c r="X485" s="255">
        <f t="shared" si="1695"/>
        <v>-0.432774193548387</v>
      </c>
      <c r="Y485" s="255">
        <f t="shared" si="1695"/>
        <v>-0.0489368882888964</v>
      </c>
      <c r="Z485" s="255">
        <f t="shared" si="1695"/>
        <v>0.075968992248062</v>
      </c>
      <c r="AA485" s="255">
        <f t="shared" si="1695"/>
        <v>-0.69414946904428</v>
      </c>
      <c r="AB485" s="254">
        <f t="shared" si="1695"/>
        <v>-0.440979381443299</v>
      </c>
      <c r="AC485" s="255">
        <f t="shared" si="1695"/>
        <v>1.1073703366697</v>
      </c>
      <c r="AD485" s="255">
        <f t="shared" si="1695"/>
        <v>0.174591909155429</v>
      </c>
      <c r="AE485" s="255">
        <f t="shared" si="1695"/>
        <v>0.996757925072046</v>
      </c>
      <c r="AF485" s="255">
        <f t="shared" si="1695"/>
        <v>0.480183426138225</v>
      </c>
      <c r="AG485" s="254">
        <f t="shared" si="1695"/>
        <v>0.660119870908253</v>
      </c>
      <c r="AH485" s="255">
        <f t="shared" si="1695"/>
        <v>0.0779360967184803</v>
      </c>
      <c r="AI485" s="255">
        <f t="shared" si="1695"/>
        <v>0.421148036253776</v>
      </c>
      <c r="AJ485" s="255">
        <f t="shared" si="1695"/>
        <v>-0.339166516326899</v>
      </c>
      <c r="AK485" s="255">
        <f t="shared" si="1695"/>
        <v>0.740429298517371</v>
      </c>
      <c r="AL485" s="254">
        <f t="shared" si="1695"/>
        <v>0.178904687847145</v>
      </c>
      <c r="AM485" s="255">
        <f t="shared" si="1695"/>
        <v>-0.22771880632886</v>
      </c>
      <c r="AN485" s="255">
        <f t="shared" si="1695"/>
        <v>-0.360544217687075</v>
      </c>
      <c r="AO485" s="255">
        <f t="shared" si="1695"/>
        <v>0.105378105378106</v>
      </c>
      <c r="AP485" s="255">
        <f t="shared" si="1695"/>
        <v>-0.179020979020979</v>
      </c>
      <c r="AQ485" s="254">
        <f t="shared" si="1695"/>
        <v>-0.181625441696113</v>
      </c>
      <c r="AR485" s="255">
        <f t="shared" si="1695"/>
        <v>0.142116182572614</v>
      </c>
      <c r="AS485" s="255">
        <f t="shared" si="1695"/>
        <v>0.105385638297872</v>
      </c>
      <c r="AT485" s="255">
        <f t="shared" si="1695"/>
        <v>0.135342059767844</v>
      </c>
      <c r="AU485" s="255">
        <f t="shared" si="1695"/>
        <v>-0.414433947653709</v>
      </c>
      <c r="AV485" s="254">
        <f t="shared" si="1695"/>
        <v>-0.0727115716753023</v>
      </c>
      <c r="AW485" s="255">
        <f t="shared" si="1695"/>
        <v>-0.256130790190736</v>
      </c>
      <c r="AX485" s="255">
        <f t="shared" si="1695"/>
        <v>0.0514285714285714</v>
      </c>
      <c r="AY485" s="255">
        <f t="shared" ref="AY485:CM485" si="1696">AY484/AT484-1</f>
        <v>-0.28670872308027</v>
      </c>
      <c r="AZ485" s="255">
        <f t="shared" si="1696"/>
        <v>-1.1459931235123</v>
      </c>
      <c r="BA485" s="254">
        <f t="shared" si="1696"/>
        <v>-0.41025641025641</v>
      </c>
      <c r="BB485" s="255">
        <f t="shared" si="1696"/>
        <v>-0.700549450549451</v>
      </c>
      <c r="BC485" s="255">
        <f t="shared" si="1696"/>
        <v>-0.479405034324943</v>
      </c>
      <c r="BD485" s="255">
        <f t="shared" si="1696"/>
        <v>-0.521500457456542</v>
      </c>
      <c r="BE485" s="255">
        <f t="shared" si="1696"/>
        <v>-3.63768115942029</v>
      </c>
      <c r="BF485" s="254">
        <f t="shared" si="1696"/>
        <v>-0.386672281292768</v>
      </c>
      <c r="BG485" s="255">
        <f t="shared" si="1696"/>
        <v>1.10907237512742</v>
      </c>
      <c r="BH485" s="255">
        <f t="shared" si="1696"/>
        <v>1.54725274725275</v>
      </c>
      <c r="BI485" s="255">
        <f t="shared" si="1696"/>
        <v>2.63862332695985</v>
      </c>
      <c r="BJ485" s="255">
        <f t="shared" si="1696"/>
        <v>5.79807692307693</v>
      </c>
      <c r="BK485" s="254">
        <f t="shared" si="1696"/>
        <v>2.82972880192242</v>
      </c>
      <c r="BL485" s="255">
        <f t="shared" si="1696"/>
        <v>0.370710488158531</v>
      </c>
      <c r="BM485" s="255">
        <f t="shared" si="1696"/>
        <v>0.499568593615185</v>
      </c>
      <c r="BN485" s="255">
        <f t="shared" si="1696"/>
        <v>0.632334909791557</v>
      </c>
      <c r="BO485" s="255">
        <f t="shared" si="1696"/>
        <v>0.664275611234592</v>
      </c>
      <c r="BP485" s="254">
        <f t="shared" si="1696"/>
        <v>0.594657583363212</v>
      </c>
      <c r="BQ485" s="255">
        <f t="shared" si="1696"/>
        <v>2.95733427362482</v>
      </c>
      <c r="BR485" s="255">
        <f t="shared" si="1696"/>
        <v>0.883486766398159</v>
      </c>
      <c r="BS485" s="255">
        <f t="shared" si="1696"/>
        <v>0.611653610902457</v>
      </c>
      <c r="BT485" s="255">
        <f t="shared" si="1696"/>
        <v>0.411521884295514</v>
      </c>
      <c r="BU485" s="254">
        <f t="shared" si="1696"/>
        <v>0.759078133783024</v>
      </c>
      <c r="BV485" s="255">
        <f t="shared" si="1696"/>
        <v>0.125634856990109</v>
      </c>
      <c r="BW485" s="255">
        <f t="shared" si="1696"/>
        <v>0.269207270505575</v>
      </c>
      <c r="BX485" s="255">
        <f t="shared" si="1696"/>
        <v>0.128170983421</v>
      </c>
      <c r="BY485" s="255">
        <f t="shared" si="1696"/>
        <v>0.133794942370549</v>
      </c>
      <c r="BZ485" s="254">
        <f t="shared" si="1696"/>
        <v>0.159311689141688</v>
      </c>
      <c r="CA485" s="255">
        <f t="shared" si="1696"/>
        <v>-1.02129343782158</v>
      </c>
      <c r="CB485" s="255">
        <f t="shared" si="1696"/>
        <v>-0.84433479752091</v>
      </c>
      <c r="CC485" s="255">
        <f t="shared" si="1696"/>
        <v>-0.92304060434372</v>
      </c>
      <c r="CD485" s="255">
        <f t="shared" si="1696"/>
        <v>-0.739028183438911</v>
      </c>
      <c r="CE485" s="254">
        <f t="shared" si="1696"/>
        <v>-0.855262613872848</v>
      </c>
      <c r="CF485" s="255">
        <f t="shared" si="1696"/>
        <v>-54.9256505576208</v>
      </c>
      <c r="CG485" s="255">
        <f t="shared" si="1696"/>
        <v>7.59683030537302</v>
      </c>
      <c r="CH485" s="275">
        <f t="shared" si="1696"/>
        <v>20.0506134969325</v>
      </c>
      <c r="CI485" s="255">
        <f t="shared" si="1696"/>
        <v>0.90218023255814</v>
      </c>
      <c r="CJ485" s="254">
        <f t="shared" si="1696"/>
        <v>6.35888402209103</v>
      </c>
      <c r="CK485" s="255">
        <f t="shared" si="1696"/>
        <v>0.346132634771819</v>
      </c>
      <c r="CL485" s="255">
        <f t="shared" si="1696"/>
        <v>0.332104316546763</v>
      </c>
      <c r="CM485" s="275">
        <f t="shared" si="1696"/>
        <v>-0.092495446265938</v>
      </c>
      <c r="CN485" s="255">
        <f t="shared" ref="CN485:CT485" si="1697">CN484/CI484-1</f>
        <v>1.52303812944143</v>
      </c>
      <c r="CO485" s="254">
        <f t="shared" si="1697"/>
        <v>0.385595797264599</v>
      </c>
      <c r="CP485" s="255">
        <f t="shared" si="1697"/>
        <v>1.25754084088698</v>
      </c>
      <c r="CQ485" s="255">
        <f t="shared" si="1697"/>
        <v>0.643252548437183</v>
      </c>
      <c r="CR485" s="275">
        <f t="shared" si="1697"/>
        <v>1.1487294769379</v>
      </c>
      <c r="CS485" s="255">
        <f t="shared" si="1697"/>
        <v>0.0993670311033044</v>
      </c>
      <c r="CT485" s="254">
        <f t="shared" si="1697"/>
        <v>0.705153946004501</v>
      </c>
      <c r="CU485" s="255"/>
      <c r="CV485" s="255"/>
      <c r="CW485" s="255"/>
      <c r="CX485" s="255"/>
      <c r="CY485" s="254"/>
      <c r="CZ485" s="255"/>
      <c r="DA485" s="255"/>
      <c r="DB485" s="255"/>
      <c r="DC485" s="255"/>
      <c r="DD485" s="254"/>
      <c r="DE485" s="255"/>
      <c r="DF485" s="255"/>
      <c r="DG485" s="255"/>
      <c r="DH485" s="255"/>
      <c r="DI485" s="254"/>
      <c r="DJ485" s="255"/>
      <c r="DK485" s="255"/>
      <c r="DL485" s="255"/>
      <c r="DM485" s="255"/>
      <c r="DN485" s="254"/>
      <c r="DO485" s="255"/>
      <c r="DP485" s="255"/>
      <c r="DQ485" s="255"/>
      <c r="DR485" s="255"/>
      <c r="DS485" s="254"/>
    </row>
    <row r="486" hidden="1" outlineLevel="1" spans="2:123">
      <c r="B486" s="262" t="s">
        <v>72</v>
      </c>
      <c r="C486" s="252"/>
      <c r="D486" s="253"/>
      <c r="E486" s="253"/>
      <c r="F486" s="253"/>
      <c r="G486" s="253"/>
      <c r="H486" s="252"/>
      <c r="I486" s="253"/>
      <c r="J486" s="253"/>
      <c r="K486" s="253"/>
      <c r="L486" s="253"/>
      <c r="M486" s="252"/>
      <c r="N486" s="255">
        <f t="shared" ref="N486:AS486" si="1698">N484/N476</f>
        <v>0.465534245153254</v>
      </c>
      <c r="O486" s="255">
        <f t="shared" si="1698"/>
        <v>0.369292363442457</v>
      </c>
      <c r="P486" s="255">
        <f t="shared" si="1698"/>
        <v>0.324785449611857</v>
      </c>
      <c r="Q486" s="255">
        <f t="shared" si="1698"/>
        <v>0.567950442194526</v>
      </c>
      <c r="R486" s="254">
        <f t="shared" si="1698"/>
        <v>0.461459658427561</v>
      </c>
      <c r="S486" s="255">
        <f t="shared" si="1698"/>
        <v>0.512058549369183</v>
      </c>
      <c r="T486" s="255">
        <f t="shared" si="1698"/>
        <v>0.412431518342345</v>
      </c>
      <c r="U486" s="255">
        <f t="shared" si="1698"/>
        <v>0.273098669596655</v>
      </c>
      <c r="V486" s="255">
        <f t="shared" si="1698"/>
        <v>0.671140172486118</v>
      </c>
      <c r="W486" s="254">
        <f t="shared" si="1698"/>
        <v>0.496518623837721</v>
      </c>
      <c r="X486" s="255">
        <f t="shared" si="1698"/>
        <v>0.250341685649203</v>
      </c>
      <c r="Y486" s="255">
        <f t="shared" si="1698"/>
        <v>0.286936157214133</v>
      </c>
      <c r="Z486" s="255">
        <f t="shared" si="1698"/>
        <v>0.262109338117269</v>
      </c>
      <c r="AA486" s="255">
        <f t="shared" si="1698"/>
        <v>0.21954551991946</v>
      </c>
      <c r="AB486" s="254">
        <f t="shared" si="1698"/>
        <v>0.251635806765975</v>
      </c>
      <c r="AC486" s="255">
        <f t="shared" si="1698"/>
        <v>0.341285863750902</v>
      </c>
      <c r="AD486" s="255">
        <f t="shared" si="1698"/>
        <v>0.250605693519079</v>
      </c>
      <c r="AE486" s="255">
        <f t="shared" si="1698"/>
        <v>0.288697916666666</v>
      </c>
      <c r="AF486" s="255">
        <f t="shared" si="1698"/>
        <v>0.251069503861326</v>
      </c>
      <c r="AG486" s="254">
        <f t="shared" si="1698"/>
        <v>0.281403956285793</v>
      </c>
      <c r="AH486" s="255">
        <f t="shared" si="1698"/>
        <v>0.303373134981298</v>
      </c>
      <c r="AI486" s="255">
        <f t="shared" si="1698"/>
        <v>0.303483870967742</v>
      </c>
      <c r="AJ486" s="255">
        <f t="shared" si="1698"/>
        <v>0.224723926380368</v>
      </c>
      <c r="AK486" s="255">
        <f t="shared" si="1698"/>
        <v>0.271677929872897</v>
      </c>
      <c r="AL486" s="254">
        <f t="shared" si="1698"/>
        <v>0.274906745414983</v>
      </c>
      <c r="AM486" s="255">
        <f t="shared" si="1698"/>
        <v>0.208861445130538</v>
      </c>
      <c r="AN486" s="255">
        <f t="shared" si="1698"/>
        <v>0.189206189457793</v>
      </c>
      <c r="AO486" s="255">
        <f t="shared" si="1698"/>
        <v>0.209045381795653</v>
      </c>
      <c r="AP486" s="255">
        <f t="shared" si="1698"/>
        <v>0.221183160346658</v>
      </c>
      <c r="AQ486" s="254">
        <f t="shared" si="1698"/>
        <v>0.209473963483756</v>
      </c>
      <c r="AR486" s="255">
        <f t="shared" si="1698"/>
        <v>0.196099385519637</v>
      </c>
      <c r="AS486" s="255">
        <f t="shared" si="1698"/>
        <v>0.155657506671036</v>
      </c>
      <c r="AT486" s="255">
        <f t="shared" ref="AT486:BY486" si="1699">AT484/AT476</f>
        <v>0.168511730205279</v>
      </c>
      <c r="AU486" s="255">
        <f t="shared" si="1699"/>
        <v>0.135001963794766</v>
      </c>
      <c r="AV486" s="254">
        <f t="shared" si="1699"/>
        <v>0.162522955219664</v>
      </c>
      <c r="AW486" s="255">
        <f t="shared" si="1699"/>
        <v>0.107258618996169</v>
      </c>
      <c r="AX486" s="255">
        <f t="shared" si="1699"/>
        <v>0.105342453370296</v>
      </c>
      <c r="AY486" s="255">
        <f t="shared" si="1699"/>
        <v>0.101898753845676</v>
      </c>
      <c r="AZ486" s="255">
        <f t="shared" si="1699"/>
        <v>-0.0173046176996144</v>
      </c>
      <c r="BA486" s="254">
        <f t="shared" si="1699"/>
        <v>0.0743224211316975</v>
      </c>
      <c r="BB486" s="255">
        <f t="shared" si="1699"/>
        <v>0.0380026342294879</v>
      </c>
      <c r="BC486" s="255">
        <f t="shared" si="1699"/>
        <v>0.0587248322147651</v>
      </c>
      <c r="BD486" s="255">
        <f t="shared" si="1699"/>
        <v>0.0424467049020669</v>
      </c>
      <c r="BE486" s="255">
        <f t="shared" si="1699"/>
        <v>0.0297720069522544</v>
      </c>
      <c r="BF486" s="254">
        <f t="shared" si="1699"/>
        <v>0.0408340634308744</v>
      </c>
      <c r="BG486" s="255">
        <f t="shared" si="1699"/>
        <v>0.052718748407481</v>
      </c>
      <c r="BH486" s="255">
        <f t="shared" si="1699"/>
        <v>0.101373217878072</v>
      </c>
      <c r="BI486" s="255">
        <f t="shared" si="1699"/>
        <v>0.121734865769665</v>
      </c>
      <c r="BJ486" s="255">
        <f t="shared" si="1699"/>
        <v>0.180380150529404</v>
      </c>
      <c r="BK486" s="254">
        <f t="shared" si="1699"/>
        <v>0.119476513804699</v>
      </c>
      <c r="BL486" s="255">
        <f t="shared" si="1699"/>
        <v>0.0644765260884392</v>
      </c>
      <c r="BM486" s="255">
        <f t="shared" si="1699"/>
        <v>0.128595475481401</v>
      </c>
      <c r="BN486" s="255">
        <f t="shared" si="1699"/>
        <v>0.148502860421016</v>
      </c>
      <c r="BO486" s="255">
        <f t="shared" si="1699"/>
        <v>0.223393002441009</v>
      </c>
      <c r="BP486" s="254">
        <f t="shared" si="1699"/>
        <v>0.151701849159415</v>
      </c>
      <c r="BQ486" s="255">
        <f t="shared" si="1699"/>
        <v>0.191127384196185</v>
      </c>
      <c r="BR486" s="255">
        <f t="shared" si="1699"/>
        <v>0.187862266857963</v>
      </c>
      <c r="BS486" s="255">
        <f t="shared" si="1699"/>
        <v>0.184501799687972</v>
      </c>
      <c r="BT486" s="255">
        <f t="shared" si="1699"/>
        <v>0.249279029128295</v>
      </c>
      <c r="BU486" s="254">
        <f t="shared" si="1699"/>
        <v>0.206492906631475</v>
      </c>
      <c r="BV486" s="255">
        <f t="shared" si="1699"/>
        <v>0.191267089585005</v>
      </c>
      <c r="BW486" s="255">
        <f t="shared" si="1699"/>
        <v>0.202769643728648</v>
      </c>
      <c r="BX486" s="255">
        <f t="shared" si="1699"/>
        <v>0.188476084538376</v>
      </c>
      <c r="BY486" s="255">
        <f t="shared" si="1699"/>
        <v>0.2572</v>
      </c>
      <c r="BZ486" s="254">
        <f t="shared" ref="BZ486:CI486" si="1700">BZ484/BZ476</f>
        <v>0.213152413714091</v>
      </c>
      <c r="CA486" s="255">
        <f t="shared" si="1700"/>
        <v>-0.00673291117062548</v>
      </c>
      <c r="CB486" s="255">
        <f t="shared" si="1700"/>
        <v>0.0421068051237813</v>
      </c>
      <c r="CC486" s="255">
        <f t="shared" si="1700"/>
        <v>0.0102349164488607</v>
      </c>
      <c r="CD486" s="255">
        <f t="shared" si="1700"/>
        <v>0.0298864055950131</v>
      </c>
      <c r="CE486" s="254">
        <f t="shared" si="1700"/>
        <v>0.0228799749021795</v>
      </c>
      <c r="CF486" s="255">
        <f t="shared" si="1700"/>
        <v>0.100185093099066</v>
      </c>
      <c r="CG486" s="255">
        <f t="shared" si="1700"/>
        <v>0.140695379320816</v>
      </c>
      <c r="CH486" s="275">
        <f t="shared" si="1700"/>
        <v>0.175135259289506</v>
      </c>
      <c r="CI486" s="255">
        <f t="shared" si="1700"/>
        <v>0.066237802162206</v>
      </c>
      <c r="CJ486" s="254">
        <f t="shared" ref="CJ486:CT486" si="1701">CJ484/CJ476</f>
        <v>0.117598634155843</v>
      </c>
      <c r="CK486" s="255">
        <f t="shared" si="1701"/>
        <v>0.121583253427643</v>
      </c>
      <c r="CL486" s="255">
        <f t="shared" si="1701"/>
        <v>0.156069242358792</v>
      </c>
      <c r="CM486" s="275">
        <f t="shared" si="1701"/>
        <v>0.133586803805275</v>
      </c>
      <c r="CN486" s="255">
        <f t="shared" si="1701"/>
        <v>0.146302450263636</v>
      </c>
      <c r="CO486" s="254">
        <f t="shared" si="1701"/>
        <v>0.140418305795961</v>
      </c>
      <c r="CP486" s="255">
        <f t="shared" si="1701"/>
        <v>0.212179261947507</v>
      </c>
      <c r="CQ486" s="255">
        <f t="shared" si="1701"/>
        <v>0.222751460744076</v>
      </c>
      <c r="CR486" s="275">
        <f t="shared" si="1701"/>
        <v>0.240984521740696</v>
      </c>
      <c r="CS486" s="255">
        <f t="shared" si="1701"/>
        <v>0.145913223838121</v>
      </c>
      <c r="CT486" s="254">
        <f t="shared" si="1701"/>
        <v>0.203511544651654</v>
      </c>
      <c r="CU486" s="255"/>
      <c r="CV486" s="255"/>
      <c r="CW486" s="255"/>
      <c r="CX486" s="255"/>
      <c r="CY486" s="254"/>
      <c r="CZ486" s="255"/>
      <c r="DA486" s="255"/>
      <c r="DB486" s="255"/>
      <c r="DC486" s="255"/>
      <c r="DD486" s="254"/>
      <c r="DE486" s="255"/>
      <c r="DF486" s="255"/>
      <c r="DG486" s="255"/>
      <c r="DH486" s="255"/>
      <c r="DI486" s="254"/>
      <c r="DJ486" s="255"/>
      <c r="DK486" s="255"/>
      <c r="DL486" s="255"/>
      <c r="DM486" s="255"/>
      <c r="DN486" s="254"/>
      <c r="DO486" s="255"/>
      <c r="DP486" s="255"/>
      <c r="DQ486" s="255"/>
      <c r="DR486" s="255"/>
      <c r="DS486" s="254"/>
    </row>
    <row r="487" hidden="1" outlineLevel="1" spans="2:123">
      <c r="B487" s="256" t="s">
        <v>73</v>
      </c>
      <c r="C487" s="246"/>
      <c r="D487" s="247"/>
      <c r="E487" s="247"/>
      <c r="F487" s="247"/>
      <c r="G487" s="247"/>
      <c r="H487" s="246"/>
      <c r="I487" s="247"/>
      <c r="J487" s="247"/>
      <c r="K487" s="247"/>
      <c r="L487" s="247"/>
      <c r="M487" s="246"/>
      <c r="N487" s="247"/>
      <c r="O487" s="247"/>
      <c r="P487" s="247"/>
      <c r="Q487" s="247"/>
      <c r="R487" s="246"/>
      <c r="S487" s="260">
        <f t="shared" ref="S487:AX487" si="1702">(S486-N486)*100*100</f>
        <v>465.243042159299</v>
      </c>
      <c r="T487" s="260">
        <f t="shared" si="1702"/>
        <v>431.391548998882</v>
      </c>
      <c r="U487" s="260">
        <f t="shared" si="1702"/>
        <v>-516.86780015202</v>
      </c>
      <c r="V487" s="260">
        <f t="shared" si="1702"/>
        <v>1031.89730291591</v>
      </c>
      <c r="W487" s="259">
        <f t="shared" si="1702"/>
        <v>350.589654101596</v>
      </c>
      <c r="X487" s="260">
        <f t="shared" si="1702"/>
        <v>-2617.16863719981</v>
      </c>
      <c r="Y487" s="260">
        <f t="shared" si="1702"/>
        <v>-1254.95361128213</v>
      </c>
      <c r="Z487" s="260">
        <f t="shared" si="1702"/>
        <v>-109.893314793862</v>
      </c>
      <c r="AA487" s="260">
        <f t="shared" si="1702"/>
        <v>-4515.94652566658</v>
      </c>
      <c r="AB487" s="259">
        <f t="shared" si="1702"/>
        <v>-2448.82817071746</v>
      </c>
      <c r="AC487" s="260">
        <f t="shared" si="1702"/>
        <v>909.441781016995</v>
      </c>
      <c r="AD487" s="260">
        <f t="shared" si="1702"/>
        <v>-363.304636950533</v>
      </c>
      <c r="AE487" s="260">
        <f t="shared" si="1702"/>
        <v>265.885785493973</v>
      </c>
      <c r="AF487" s="260">
        <f t="shared" si="1702"/>
        <v>315.239839418662</v>
      </c>
      <c r="AG487" s="259">
        <f t="shared" si="1702"/>
        <v>297.681495198175</v>
      </c>
      <c r="AH487" s="260">
        <f t="shared" si="1702"/>
        <v>-379.12728769604</v>
      </c>
      <c r="AI487" s="260">
        <f t="shared" si="1702"/>
        <v>528.781774486625</v>
      </c>
      <c r="AJ487" s="260">
        <f t="shared" si="1702"/>
        <v>-639.739902862984</v>
      </c>
      <c r="AK487" s="260">
        <f t="shared" si="1702"/>
        <v>206.084260115711</v>
      </c>
      <c r="AL487" s="259">
        <f t="shared" si="1702"/>
        <v>-64.9721087080984</v>
      </c>
      <c r="AM487" s="260">
        <f t="shared" si="1702"/>
        <v>-945.116898507598</v>
      </c>
      <c r="AN487" s="260">
        <f t="shared" si="1702"/>
        <v>-1142.77681509948</v>
      </c>
      <c r="AO487" s="260">
        <f t="shared" si="1702"/>
        <v>-156.785445847152</v>
      </c>
      <c r="AP487" s="260">
        <f t="shared" si="1702"/>
        <v>-504.947695262385</v>
      </c>
      <c r="AQ487" s="259">
        <f t="shared" si="1702"/>
        <v>-654.327819312271</v>
      </c>
      <c r="AR487" s="260">
        <f t="shared" si="1702"/>
        <v>-127.620596109017</v>
      </c>
      <c r="AS487" s="260">
        <f t="shared" si="1702"/>
        <v>-335.486827867574</v>
      </c>
      <c r="AT487" s="260">
        <f t="shared" si="1702"/>
        <v>-405.336515903743</v>
      </c>
      <c r="AU487" s="260">
        <f t="shared" si="1702"/>
        <v>-861.811965518929</v>
      </c>
      <c r="AV487" s="259">
        <f t="shared" si="1702"/>
        <v>-469.51008264092</v>
      </c>
      <c r="AW487" s="260">
        <f t="shared" si="1702"/>
        <v>-888.407665234673</v>
      </c>
      <c r="AX487" s="260">
        <f t="shared" si="1702"/>
        <v>-503.150533007404</v>
      </c>
      <c r="AY487" s="260">
        <f t="shared" ref="AY487:CT487" si="1703">(AY486-AT486)*100*100</f>
        <v>-666.129763596029</v>
      </c>
      <c r="AZ487" s="260">
        <f t="shared" si="1703"/>
        <v>-1523.0658149438</v>
      </c>
      <c r="BA487" s="259">
        <f t="shared" si="1703"/>
        <v>-882.005340879663</v>
      </c>
      <c r="BB487" s="260">
        <f t="shared" si="1703"/>
        <v>-692.559847666815</v>
      </c>
      <c r="BC487" s="260">
        <f t="shared" si="1703"/>
        <v>-466.176211555305</v>
      </c>
      <c r="BD487" s="260">
        <f t="shared" si="1703"/>
        <v>-594.520489436089</v>
      </c>
      <c r="BE487" s="260">
        <f t="shared" si="1703"/>
        <v>470.766246518687</v>
      </c>
      <c r="BF487" s="259">
        <f t="shared" si="1703"/>
        <v>-334.883577008232</v>
      </c>
      <c r="BG487" s="260">
        <f t="shared" si="1703"/>
        <v>147.161141779931</v>
      </c>
      <c r="BH487" s="260">
        <f t="shared" si="1703"/>
        <v>426.483856633072</v>
      </c>
      <c r="BI487" s="260">
        <f t="shared" si="1703"/>
        <v>792.881608675985</v>
      </c>
      <c r="BJ487" s="260">
        <f t="shared" si="1703"/>
        <v>1506.0814357715</v>
      </c>
      <c r="BK487" s="259">
        <f t="shared" si="1703"/>
        <v>786.42450373825</v>
      </c>
      <c r="BL487" s="260">
        <f t="shared" si="1703"/>
        <v>117.577776809582</v>
      </c>
      <c r="BM487" s="260">
        <f t="shared" si="1703"/>
        <v>272.222576033284</v>
      </c>
      <c r="BN487" s="260">
        <f t="shared" si="1703"/>
        <v>267.679946513503</v>
      </c>
      <c r="BO487" s="260">
        <f t="shared" si="1703"/>
        <v>430.128519116046</v>
      </c>
      <c r="BP487" s="259">
        <f t="shared" si="1703"/>
        <v>322.253353547154</v>
      </c>
      <c r="BQ487" s="260">
        <f t="shared" si="1703"/>
        <v>1266.50858107746</v>
      </c>
      <c r="BR487" s="260">
        <f t="shared" si="1703"/>
        <v>592.66791376562</v>
      </c>
      <c r="BS487" s="260">
        <f t="shared" si="1703"/>
        <v>359.989392669564</v>
      </c>
      <c r="BT487" s="260">
        <f t="shared" si="1703"/>
        <v>258.860266872864</v>
      </c>
      <c r="BU487" s="259">
        <f t="shared" si="1703"/>
        <v>547.910574720599</v>
      </c>
      <c r="BV487" s="260">
        <f t="shared" si="1703"/>
        <v>1.39705388819744</v>
      </c>
      <c r="BW487" s="260">
        <f t="shared" si="1703"/>
        <v>149.073768706855</v>
      </c>
      <c r="BX487" s="260">
        <f t="shared" si="1703"/>
        <v>39.7428485040377</v>
      </c>
      <c r="BY487" s="260">
        <f t="shared" si="1703"/>
        <v>79.2097087170462</v>
      </c>
      <c r="BZ487" s="259">
        <f t="shared" si="1703"/>
        <v>66.5950708261626</v>
      </c>
      <c r="CA487" s="276">
        <f t="shared" si="1703"/>
        <v>-1980.00000755631</v>
      </c>
      <c r="CB487" s="276">
        <f t="shared" si="1703"/>
        <v>-1606.62838604867</v>
      </c>
      <c r="CC487" s="276">
        <f t="shared" si="1703"/>
        <v>-1782.41168089515</v>
      </c>
      <c r="CD487" s="276">
        <f t="shared" si="1703"/>
        <v>-2273.13594404987</v>
      </c>
      <c r="CE487" s="259">
        <f t="shared" si="1703"/>
        <v>-1902.72438811912</v>
      </c>
      <c r="CF487" s="276">
        <f t="shared" si="1703"/>
        <v>1069.18004269692</v>
      </c>
      <c r="CG487" s="276">
        <f t="shared" si="1703"/>
        <v>985.885741970345</v>
      </c>
      <c r="CH487" s="276">
        <f t="shared" si="1703"/>
        <v>1649.00342840645</v>
      </c>
      <c r="CI487" s="276">
        <f t="shared" si="1703"/>
        <v>363.513965671928</v>
      </c>
      <c r="CJ487" s="259">
        <f t="shared" si="1703"/>
        <v>947.186592536631</v>
      </c>
      <c r="CK487" s="276">
        <f t="shared" si="1703"/>
        <v>213.981603285766</v>
      </c>
      <c r="CL487" s="276">
        <f t="shared" si="1703"/>
        <v>153.738630379759</v>
      </c>
      <c r="CM487" s="276">
        <f t="shared" si="1703"/>
        <v>-415.484554842313</v>
      </c>
      <c r="CN487" s="276">
        <f t="shared" si="1703"/>
        <v>800.646481014299</v>
      </c>
      <c r="CO487" s="259">
        <f t="shared" si="1703"/>
        <v>228.196716401186</v>
      </c>
      <c r="CP487" s="276">
        <f t="shared" si="1703"/>
        <v>905.960085198647</v>
      </c>
      <c r="CQ487" s="276">
        <f t="shared" si="1703"/>
        <v>666.822183852841</v>
      </c>
      <c r="CR487" s="276">
        <f t="shared" si="1703"/>
        <v>1073.97717935422</v>
      </c>
      <c r="CS487" s="276">
        <f t="shared" si="1703"/>
        <v>-3.89226425515199</v>
      </c>
      <c r="CT487" s="259">
        <f t="shared" si="1703"/>
        <v>630.932388556931</v>
      </c>
      <c r="CU487" s="276"/>
      <c r="CV487" s="456"/>
      <c r="CW487" s="456"/>
      <c r="CX487" s="456"/>
      <c r="CY487" s="259"/>
      <c r="CZ487" s="456"/>
      <c r="DA487" s="456"/>
      <c r="DB487" s="456"/>
      <c r="DC487" s="456"/>
      <c r="DD487" s="259"/>
      <c r="DE487" s="456"/>
      <c r="DF487" s="456"/>
      <c r="DG487" s="456"/>
      <c r="DH487" s="456"/>
      <c r="DI487" s="259"/>
      <c r="DJ487" s="456"/>
      <c r="DK487" s="456"/>
      <c r="DL487" s="456"/>
      <c r="DM487" s="456"/>
      <c r="DN487" s="259"/>
      <c r="DO487" s="456"/>
      <c r="DP487" s="456"/>
      <c r="DQ487" s="456"/>
      <c r="DR487" s="456"/>
      <c r="DS487" s="259"/>
    </row>
    <row r="488" hidden="1" outlineLevel="1" spans="2:123">
      <c r="B488" s="245"/>
      <c r="C488" s="246"/>
      <c r="D488" s="247"/>
      <c r="E488" s="247"/>
      <c r="F488" s="247"/>
      <c r="G488" s="247"/>
      <c r="H488" s="246"/>
      <c r="I488" s="247"/>
      <c r="J488" s="247"/>
      <c r="K488" s="247"/>
      <c r="L488" s="247"/>
      <c r="M488" s="246"/>
      <c r="N488" s="247"/>
      <c r="O488" s="247"/>
      <c r="P488" s="247"/>
      <c r="Q488" s="247"/>
      <c r="R488" s="246"/>
      <c r="S488" s="247"/>
      <c r="T488" s="247"/>
      <c r="U488" s="247"/>
      <c r="V488" s="247"/>
      <c r="W488" s="246"/>
      <c r="X488" s="247"/>
      <c r="Y488" s="247"/>
      <c r="Z488" s="247"/>
      <c r="AA488" s="247"/>
      <c r="AB488" s="246"/>
      <c r="AC488" s="247"/>
      <c r="AD488" s="247"/>
      <c r="AE488" s="247"/>
      <c r="AF488" s="247"/>
      <c r="AG488" s="246"/>
      <c r="AH488" s="247"/>
      <c r="AI488" s="247"/>
      <c r="AJ488" s="247"/>
      <c r="AK488" s="247"/>
      <c r="AL488" s="246"/>
      <c r="AM488" s="247"/>
      <c r="AN488" s="247"/>
      <c r="AO488" s="247"/>
      <c r="AP488" s="247"/>
      <c r="AQ488" s="246"/>
      <c r="AR488" s="247"/>
      <c r="AS488" s="247"/>
      <c r="AT488" s="247"/>
      <c r="AU488" s="247"/>
      <c r="AV488" s="246"/>
      <c r="AW488" s="247"/>
      <c r="AX488" s="247"/>
      <c r="AY488" s="247"/>
      <c r="AZ488" s="247"/>
      <c r="BA488" s="246"/>
      <c r="BB488" s="247"/>
      <c r="BC488" s="247"/>
      <c r="BD488" s="247"/>
      <c r="BE488" s="247"/>
      <c r="BF488" s="246"/>
      <c r="BG488" s="247"/>
      <c r="BH488" s="247"/>
      <c r="BI488" s="247"/>
      <c r="BJ488" s="247"/>
      <c r="BK488" s="246"/>
      <c r="BL488" s="247"/>
      <c r="BM488" s="247"/>
      <c r="BN488" s="247"/>
      <c r="BO488" s="247"/>
      <c r="BP488" s="246"/>
      <c r="BQ488" s="247"/>
      <c r="BR488" s="247"/>
      <c r="BS488" s="247"/>
      <c r="BT488" s="247"/>
      <c r="BU488" s="246"/>
      <c r="BV488" s="247"/>
      <c r="BW488" s="247"/>
      <c r="BX488" s="247"/>
      <c r="BY488" s="247"/>
      <c r="BZ488" s="246"/>
      <c r="CA488" s="247"/>
      <c r="CB488" s="247"/>
      <c r="CC488" s="247"/>
      <c r="CD488" s="247"/>
      <c r="CE488" s="246"/>
      <c r="CF488" s="247"/>
      <c r="CG488" s="247"/>
      <c r="CH488" s="247"/>
      <c r="CI488" s="247"/>
      <c r="CJ488" s="246"/>
      <c r="CK488" s="247"/>
      <c r="CL488" s="247"/>
      <c r="CM488" s="247"/>
      <c r="CN488" s="247"/>
      <c r="CO488" s="246"/>
      <c r="CP488" s="247"/>
      <c r="CQ488" s="247"/>
      <c r="CR488" s="247"/>
      <c r="CS488" s="247"/>
      <c r="CT488" s="246"/>
      <c r="CU488" s="247"/>
      <c r="CV488" s="247"/>
      <c r="CW488" s="247"/>
      <c r="CX488" s="247"/>
      <c r="CY488" s="246"/>
      <c r="CZ488" s="247"/>
      <c r="DA488" s="247"/>
      <c r="DB488" s="247"/>
      <c r="DC488" s="247"/>
      <c r="DD488" s="246"/>
      <c r="DE488" s="247"/>
      <c r="DF488" s="247"/>
      <c r="DG488" s="247"/>
      <c r="DH488" s="247"/>
      <c r="DI488" s="246"/>
      <c r="DJ488" s="247"/>
      <c r="DK488" s="247"/>
      <c r="DL488" s="247"/>
      <c r="DM488" s="247"/>
      <c r="DN488" s="246"/>
      <c r="DO488" s="247"/>
      <c r="DP488" s="247"/>
      <c r="DQ488" s="247"/>
      <c r="DR488" s="247"/>
      <c r="DS488" s="246"/>
    </row>
    <row r="489" hidden="1" outlineLevel="1" spans="2:123">
      <c r="B489" s="184" t="s">
        <v>480</v>
      </c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  <c r="AA489" s="185"/>
      <c r="AB489" s="185"/>
      <c r="AC489" s="185"/>
      <c r="AD489" s="185"/>
      <c r="AE489" s="185"/>
      <c r="AF489" s="185"/>
      <c r="AG489" s="185"/>
      <c r="AH489" s="185"/>
      <c r="AI489" s="185"/>
      <c r="AJ489" s="185"/>
      <c r="AK489" s="185"/>
      <c r="AL489" s="185"/>
      <c r="AM489" s="185"/>
      <c r="AN489" s="185"/>
      <c r="AO489" s="185"/>
      <c r="AP489" s="185"/>
      <c r="AQ489" s="185"/>
      <c r="AR489" s="185"/>
      <c r="AS489" s="185"/>
      <c r="AT489" s="185"/>
      <c r="AU489" s="185"/>
      <c r="AV489" s="185"/>
      <c r="AW489" s="185"/>
      <c r="AX489" s="185"/>
      <c r="AY489" s="185"/>
      <c r="AZ489" s="185"/>
      <c r="BA489" s="185"/>
      <c r="BB489" s="185"/>
      <c r="BC489" s="185"/>
      <c r="BD489" s="185"/>
      <c r="BE489" s="185"/>
      <c r="BF489" s="185"/>
      <c r="BG489" s="185"/>
      <c r="BH489" s="185"/>
      <c r="BI489" s="185"/>
      <c r="BJ489" s="185"/>
      <c r="BK489" s="185"/>
      <c r="BL489" s="185"/>
      <c r="BM489" s="185"/>
      <c r="BN489" s="185"/>
      <c r="BO489" s="185"/>
      <c r="BP489" s="185"/>
      <c r="BQ489" s="185"/>
      <c r="BR489" s="185"/>
      <c r="BS489" s="185"/>
      <c r="BT489" s="185"/>
      <c r="BU489" s="185"/>
      <c r="BV489" s="185"/>
      <c r="BW489" s="185"/>
      <c r="BX489" s="185"/>
      <c r="BY489" s="185"/>
      <c r="BZ489" s="185"/>
      <c r="CA489" s="185"/>
      <c r="CB489" s="185"/>
      <c r="CC489" s="185"/>
      <c r="CD489" s="185"/>
      <c r="CE489" s="185"/>
      <c r="CF489" s="185"/>
      <c r="CG489" s="185"/>
      <c r="CH489" s="185"/>
      <c r="CI489" s="185"/>
      <c r="CJ489" s="185"/>
      <c r="CK489" s="185"/>
      <c r="CL489" s="185"/>
      <c r="CM489" s="185"/>
      <c r="CN489" s="185"/>
      <c r="CO489" s="185"/>
      <c r="CP489" s="185"/>
      <c r="CQ489" s="185"/>
      <c r="CR489" s="185"/>
      <c r="CS489" s="185"/>
      <c r="CT489" s="185"/>
      <c r="CU489" s="185"/>
      <c r="CV489" s="185"/>
      <c r="CW489" s="185"/>
      <c r="CX489" s="185"/>
      <c r="CY489" s="185"/>
      <c r="CZ489" s="185"/>
      <c r="DA489" s="185"/>
      <c r="DB489" s="185"/>
      <c r="DC489" s="185"/>
      <c r="DD489" s="185"/>
      <c r="DE489" s="185"/>
      <c r="DF489" s="185"/>
      <c r="DG489" s="185"/>
      <c r="DH489" s="185"/>
      <c r="DI489" s="185"/>
      <c r="DJ489" s="185"/>
      <c r="DK489" s="185"/>
      <c r="DL489" s="185"/>
      <c r="DM489" s="185"/>
      <c r="DN489" s="186"/>
      <c r="DO489" s="185"/>
      <c r="DP489" s="185"/>
      <c r="DQ489" s="185"/>
      <c r="DR489" s="185"/>
      <c r="DS489" s="186"/>
    </row>
    <row r="490" s="3" customFormat="1" hidden="1" outlineLevel="1" spans="2:123">
      <c r="B490" s="454" t="s">
        <v>60</v>
      </c>
      <c r="C490" s="264"/>
      <c r="D490" s="265"/>
      <c r="E490" s="265"/>
      <c r="F490" s="265"/>
      <c r="G490" s="265"/>
      <c r="H490" s="264"/>
      <c r="I490" s="265"/>
      <c r="J490" s="265"/>
      <c r="K490" s="265"/>
      <c r="L490" s="265"/>
      <c r="M490" s="264"/>
      <c r="N490" s="265">
        <v>-8.201</v>
      </c>
      <c r="O490" s="265">
        <f>-8.76-0.5</f>
        <v>-9.26</v>
      </c>
      <c r="P490" s="265">
        <f>-9.061-0.4</f>
        <v>-9.461</v>
      </c>
      <c r="Q490" s="265">
        <f>-16.678-0.5</f>
        <v>-17.178</v>
      </c>
      <c r="R490" s="264">
        <f>SUM(N490:Q490)</f>
        <v>-44.1</v>
      </c>
      <c r="S490" s="265">
        <v>-15.371</v>
      </c>
      <c r="T490" s="265">
        <v>-11.179</v>
      </c>
      <c r="U490" s="265">
        <v>-10.926</v>
      </c>
      <c r="V490" s="265">
        <f>-20.224+4.2</f>
        <v>-16.024</v>
      </c>
      <c r="W490" s="264">
        <f>SUM(S490:V490)</f>
        <v>-53.5</v>
      </c>
      <c r="X490" s="265">
        <v>-14.397</v>
      </c>
      <c r="Y490" s="265">
        <v>-13.233</v>
      </c>
      <c r="Z490" s="265">
        <v>-14.421</v>
      </c>
      <c r="AA490" s="265">
        <f>-10.149+0.2</f>
        <v>-9.949</v>
      </c>
      <c r="AB490" s="264">
        <f>SUM(X490:AA490)</f>
        <v>-52</v>
      </c>
      <c r="AC490" s="265">
        <v>-21.355</v>
      </c>
      <c r="AD490" s="265">
        <v>-16.237</v>
      </c>
      <c r="AE490" s="265">
        <v>-17.855</v>
      </c>
      <c r="AF490" s="265">
        <v>-13.653</v>
      </c>
      <c r="AG490" s="264">
        <f>SUM(AC490:AF490)</f>
        <v>-69.1</v>
      </c>
      <c r="AH490" s="265">
        <v>-16.734</v>
      </c>
      <c r="AI490" s="265">
        <v>-17.472</v>
      </c>
      <c r="AJ490" s="265">
        <v>-19.371</v>
      </c>
      <c r="AK490" s="265">
        <v>-23.823</v>
      </c>
      <c r="AL490" s="264">
        <f>SUM(AH490:AK490)</f>
        <v>-77.4</v>
      </c>
      <c r="AM490" s="265">
        <v>-25.1</v>
      </c>
      <c r="AN490" s="265">
        <v>-23.945</v>
      </c>
      <c r="AO490" s="265">
        <v>-26.51</v>
      </c>
      <c r="AP490" s="271">
        <v>-27.993</v>
      </c>
      <c r="AQ490" s="264">
        <f>SUM(AM490:AP490)</f>
        <v>-103.548</v>
      </c>
      <c r="AR490" s="271">
        <v>-29.29</v>
      </c>
      <c r="AS490" s="271">
        <v>-28.502</v>
      </c>
      <c r="AT490" s="271">
        <v>-29.917</v>
      </c>
      <c r="AU490" s="271">
        <v>-19.24</v>
      </c>
      <c r="AV490" s="264">
        <f>SUM(AR490:AU490)</f>
        <v>-106.949</v>
      </c>
      <c r="AW490" s="271">
        <v>-36.289</v>
      </c>
      <c r="AX490" s="265">
        <v>-34.586</v>
      </c>
      <c r="AY490" s="265">
        <v>-28.405</v>
      </c>
      <c r="AZ490" s="271">
        <v>-23.652</v>
      </c>
      <c r="BA490" s="264">
        <f>SUM(AW490:AZ490)</f>
        <v>-122.932</v>
      </c>
      <c r="BB490" s="271">
        <v>-37.039</v>
      </c>
      <c r="BC490" s="271">
        <v>-34.932</v>
      </c>
      <c r="BD490" s="271">
        <v>-42.105</v>
      </c>
      <c r="BE490" s="271">
        <v>-35.894</v>
      </c>
      <c r="BF490" s="264">
        <f>SUM(BB490:BE490)</f>
        <v>-149.97</v>
      </c>
      <c r="BG490" s="271">
        <v>-56.29</v>
      </c>
      <c r="BH490" s="271">
        <v>-43.598</v>
      </c>
      <c r="BI490" s="271">
        <v>-47.819</v>
      </c>
      <c r="BJ490" s="271">
        <v>-55.266</v>
      </c>
      <c r="BK490" s="264">
        <f>SUM(BG490:BJ490)</f>
        <v>-202.973</v>
      </c>
      <c r="BL490" s="271">
        <v>-52.604</v>
      </c>
      <c r="BM490" s="265">
        <v>-65.558</v>
      </c>
      <c r="BN490" s="271">
        <v>-50.762</v>
      </c>
      <c r="BO490" s="271">
        <f>-227.972-BN490-BM490-BL490</f>
        <v>-59.048</v>
      </c>
      <c r="BP490" s="264">
        <f>SUM(BL490:BO490)</f>
        <v>-227.972</v>
      </c>
      <c r="BQ490" s="265">
        <v>-68.472</v>
      </c>
      <c r="BR490" s="265">
        <v>-71.787</v>
      </c>
      <c r="BS490" s="265">
        <v>-73.355</v>
      </c>
      <c r="BT490" s="265">
        <f>-286.365-SUM(BQ490:BS490)</f>
        <v>-72.751</v>
      </c>
      <c r="BU490" s="264">
        <f>SUM(BQ490:BT490)</f>
        <v>-286.365</v>
      </c>
      <c r="BV490" s="265">
        <v>-83.403</v>
      </c>
      <c r="BW490" s="265">
        <v>-89.05</v>
      </c>
      <c r="BX490" s="265">
        <v>-92.131</v>
      </c>
      <c r="BY490" s="265">
        <f>-355.156-SUM(BV490:BX490)</f>
        <v>-90.572</v>
      </c>
      <c r="BZ490" s="264">
        <f>SUM(BV490:BY490)</f>
        <v>-355.156</v>
      </c>
      <c r="CA490" s="265">
        <v>-93.773</v>
      </c>
      <c r="CB490" s="265">
        <f>-98.292-0.724-11.464+7.201+5.045-0.782</f>
        <v>-99.016</v>
      </c>
      <c r="CC490" s="265">
        <v>-107.002</v>
      </c>
      <c r="CD490" s="265">
        <f>-397.208-2.769-CC490-CB490-CA490</f>
        <v>-100.186</v>
      </c>
      <c r="CE490" s="264">
        <f>SUM(CA490:CD490)</f>
        <v>-399.977</v>
      </c>
      <c r="CF490" s="265">
        <f>-146.907-7.664+7.168+0.496</f>
        <v>-146.907</v>
      </c>
      <c r="CG490" s="265">
        <f>-166.115-2.195-8.143+8.143+2.195</f>
        <v>-166.115</v>
      </c>
      <c r="CH490" s="265">
        <v>-180.931</v>
      </c>
      <c r="CI490" s="265">
        <f>-637.983-CF490-CG490-CH490-7.664+7.168+0.496-2.195-8.143+8.143+2.195</f>
        <v>-144.03</v>
      </c>
      <c r="CJ490" s="264">
        <f>SUM(CF490:CI490)</f>
        <v>-637.983</v>
      </c>
      <c r="CK490" s="265">
        <v>-202.798</v>
      </c>
      <c r="CL490" s="265">
        <f>-219.633-2.195+2.195+10.18-10.18</f>
        <v>-219.633</v>
      </c>
      <c r="CM490" s="265">
        <v>-234.77</v>
      </c>
      <c r="CN490" s="265">
        <f>-862.867-CM490-CL490-CK490</f>
        <v>-205.666</v>
      </c>
      <c r="CO490" s="264">
        <f>SUM(CK490:CN490)</f>
        <v>-862.867</v>
      </c>
      <c r="CP490" s="265">
        <v>-270.063</v>
      </c>
      <c r="CQ490" s="265">
        <v>-291.109</v>
      </c>
      <c r="CR490" s="265">
        <v>-310.852</v>
      </c>
      <c r="CS490" s="463">
        <f>'2. Consolidated'!CS55-'3. Earnings Build'!CS470-'3. Earnings Build'!CS455-'3. Earnings Build'!CS484</f>
        <v>-272.41</v>
      </c>
      <c r="CT490" s="464">
        <f>SUM(CP490:CS490)</f>
        <v>-1144.434</v>
      </c>
      <c r="CU490" s="463"/>
      <c r="CV490" s="265"/>
      <c r="CW490" s="265"/>
      <c r="CX490" s="265"/>
      <c r="CY490" s="264"/>
      <c r="CZ490" s="265"/>
      <c r="DA490" s="265"/>
      <c r="DB490" s="265"/>
      <c r="DC490" s="265"/>
      <c r="DD490" s="264"/>
      <c r="DE490" s="265"/>
      <c r="DF490" s="265"/>
      <c r="DG490" s="265"/>
      <c r="DH490" s="265"/>
      <c r="DI490" s="264"/>
      <c r="DJ490" s="265"/>
      <c r="DK490" s="265"/>
      <c r="DL490" s="265"/>
      <c r="DM490" s="265"/>
      <c r="DN490" s="264"/>
      <c r="DO490" s="265"/>
      <c r="DP490" s="265"/>
      <c r="DQ490" s="265"/>
      <c r="DR490" s="265"/>
      <c r="DS490" s="264"/>
    </row>
    <row r="491" hidden="1" outlineLevel="1" spans="2:123">
      <c r="B491" s="149" t="s">
        <v>69</v>
      </c>
      <c r="C491" s="252"/>
      <c r="D491" s="253"/>
      <c r="E491" s="253"/>
      <c r="F491" s="253"/>
      <c r="G491" s="253"/>
      <c r="H491" s="252"/>
      <c r="I491" s="253"/>
      <c r="J491" s="253"/>
      <c r="K491" s="253"/>
      <c r="L491" s="253"/>
      <c r="M491" s="252"/>
      <c r="N491" s="255"/>
      <c r="O491" s="255"/>
      <c r="P491" s="255"/>
      <c r="Q491" s="255"/>
      <c r="R491" s="254"/>
      <c r="S491" s="255">
        <f t="shared" ref="S491:AX491" si="1704">S490/N490-1</f>
        <v>0.874283623948299</v>
      </c>
      <c r="T491" s="255">
        <f t="shared" si="1704"/>
        <v>0.207235421166307</v>
      </c>
      <c r="U491" s="255">
        <f t="shared" si="1704"/>
        <v>0.154846210759962</v>
      </c>
      <c r="V491" s="255">
        <f t="shared" si="1704"/>
        <v>-0.0671789498195366</v>
      </c>
      <c r="W491" s="254">
        <f t="shared" si="1704"/>
        <v>0.213151927437642</v>
      </c>
      <c r="X491" s="255">
        <f t="shared" si="1704"/>
        <v>-0.0633660789798972</v>
      </c>
      <c r="Y491" s="255">
        <f t="shared" si="1704"/>
        <v>0.183737364701673</v>
      </c>
      <c r="Z491" s="255">
        <f t="shared" si="1704"/>
        <v>0.319879187259747</v>
      </c>
      <c r="AA491" s="255">
        <f t="shared" si="1704"/>
        <v>-0.379118821767349</v>
      </c>
      <c r="AB491" s="254">
        <f t="shared" si="1704"/>
        <v>-0.0280373831775701</v>
      </c>
      <c r="AC491" s="255">
        <f t="shared" si="1704"/>
        <v>0.483295130930055</v>
      </c>
      <c r="AD491" s="255">
        <f t="shared" si="1704"/>
        <v>0.227008236983299</v>
      </c>
      <c r="AE491" s="255">
        <f t="shared" si="1704"/>
        <v>0.238124956660426</v>
      </c>
      <c r="AF491" s="255">
        <f t="shared" si="1704"/>
        <v>0.372298723489797</v>
      </c>
      <c r="AG491" s="254">
        <f t="shared" si="1704"/>
        <v>0.328846153846154</v>
      </c>
      <c r="AH491" s="255">
        <f t="shared" si="1704"/>
        <v>-0.216389604308124</v>
      </c>
      <c r="AI491" s="255">
        <f t="shared" si="1704"/>
        <v>0.0760608486789434</v>
      </c>
      <c r="AJ491" s="255">
        <f t="shared" si="1704"/>
        <v>0.084906188742649</v>
      </c>
      <c r="AK491" s="255">
        <f t="shared" si="1704"/>
        <v>0.744891232696112</v>
      </c>
      <c r="AL491" s="254">
        <f t="shared" si="1704"/>
        <v>0.120115774240232</v>
      </c>
      <c r="AM491" s="255">
        <f t="shared" si="1704"/>
        <v>0.499940241424644</v>
      </c>
      <c r="AN491" s="255">
        <f t="shared" si="1704"/>
        <v>0.37047847985348</v>
      </c>
      <c r="AO491" s="255">
        <f t="shared" si="1704"/>
        <v>0.368540601930721</v>
      </c>
      <c r="AP491" s="255">
        <f t="shared" si="1704"/>
        <v>0.175040926835411</v>
      </c>
      <c r="AQ491" s="254">
        <f t="shared" si="1704"/>
        <v>0.337829457364341</v>
      </c>
      <c r="AR491" s="255">
        <f t="shared" si="1704"/>
        <v>0.166932270916335</v>
      </c>
      <c r="AS491" s="255">
        <f t="shared" si="1704"/>
        <v>0.190311129672165</v>
      </c>
      <c r="AT491" s="255">
        <f t="shared" si="1704"/>
        <v>0.128517540550735</v>
      </c>
      <c r="AU491" s="255">
        <f t="shared" si="1704"/>
        <v>-0.312685314185689</v>
      </c>
      <c r="AV491" s="254">
        <f t="shared" si="1704"/>
        <v>0.0328446710704213</v>
      </c>
      <c r="AW491" s="255">
        <f t="shared" si="1704"/>
        <v>0.238955274837829</v>
      </c>
      <c r="AX491" s="255">
        <f t="shared" si="1704"/>
        <v>0.213458704652305</v>
      </c>
      <c r="AY491" s="255">
        <f t="shared" ref="AY491:CM491" si="1705">AY490/AT490-1</f>
        <v>-0.0505398268542969</v>
      </c>
      <c r="AZ491" s="255">
        <f t="shared" si="1705"/>
        <v>0.22931392931393</v>
      </c>
      <c r="BA491" s="254">
        <f t="shared" si="1705"/>
        <v>0.149445062599931</v>
      </c>
      <c r="BB491" s="255">
        <f t="shared" si="1705"/>
        <v>0.0206674198793022</v>
      </c>
      <c r="BC491" s="255">
        <f t="shared" si="1705"/>
        <v>0.0100040478806454</v>
      </c>
      <c r="BD491" s="255">
        <f t="shared" si="1705"/>
        <v>0.482309452561169</v>
      </c>
      <c r="BE491" s="255">
        <f t="shared" si="1705"/>
        <v>0.517588364620328</v>
      </c>
      <c r="BF491" s="254">
        <f t="shared" si="1705"/>
        <v>0.219942732567598</v>
      </c>
      <c r="BG491" s="255">
        <f t="shared" si="1705"/>
        <v>0.519749453278976</v>
      </c>
      <c r="BH491" s="255">
        <f t="shared" si="1705"/>
        <v>0.248081987862132</v>
      </c>
      <c r="BI491" s="255">
        <f t="shared" si="1705"/>
        <v>0.135708348177176</v>
      </c>
      <c r="BJ491" s="255">
        <f t="shared" si="1705"/>
        <v>0.539700228450438</v>
      </c>
      <c r="BK491" s="254">
        <f t="shared" si="1705"/>
        <v>0.353424018136961</v>
      </c>
      <c r="BL491" s="255">
        <f t="shared" si="1705"/>
        <v>-0.065482323680938</v>
      </c>
      <c r="BM491" s="255">
        <f t="shared" si="1705"/>
        <v>0.503692829946328</v>
      </c>
      <c r="BN491" s="255">
        <f t="shared" si="1705"/>
        <v>0.0615445743323784</v>
      </c>
      <c r="BO491" s="255">
        <f t="shared" si="1705"/>
        <v>0.0684326710816774</v>
      </c>
      <c r="BP491" s="254">
        <f t="shared" si="1705"/>
        <v>0.123164164691856</v>
      </c>
      <c r="BQ491" s="255">
        <f t="shared" si="1705"/>
        <v>0.301650064633868</v>
      </c>
      <c r="BR491" s="255">
        <f t="shared" si="1705"/>
        <v>0.0950151011318221</v>
      </c>
      <c r="BS491" s="255">
        <f t="shared" si="1705"/>
        <v>0.445077026121902</v>
      </c>
      <c r="BT491" s="255">
        <f t="shared" si="1705"/>
        <v>0.232065438287494</v>
      </c>
      <c r="BU491" s="254">
        <f t="shared" si="1705"/>
        <v>0.256141105047988</v>
      </c>
      <c r="BV491" s="255">
        <f t="shared" si="1705"/>
        <v>0.218059936908517</v>
      </c>
      <c r="BW491" s="255">
        <f t="shared" si="1705"/>
        <v>0.240475294969841</v>
      </c>
      <c r="BX491" s="255">
        <f t="shared" si="1705"/>
        <v>0.255960738872606</v>
      </c>
      <c r="BY491" s="255">
        <f t="shared" si="1705"/>
        <v>0.244958832181001</v>
      </c>
      <c r="BZ491" s="254">
        <f t="shared" si="1705"/>
        <v>0.240221395771131</v>
      </c>
      <c r="CA491" s="255">
        <f t="shared" si="1705"/>
        <v>0.124336055057972</v>
      </c>
      <c r="CB491" s="255">
        <f t="shared" si="1705"/>
        <v>0.111914654688377</v>
      </c>
      <c r="CC491" s="255">
        <f t="shared" si="1705"/>
        <v>0.161411468452529</v>
      </c>
      <c r="CD491" s="255">
        <f t="shared" si="1705"/>
        <v>0.106147595283311</v>
      </c>
      <c r="CE491" s="254">
        <f t="shared" si="1705"/>
        <v>0.126200880739731</v>
      </c>
      <c r="CF491" s="255">
        <f t="shared" si="1705"/>
        <v>0.566623654996641</v>
      </c>
      <c r="CG491" s="255">
        <f t="shared" si="1705"/>
        <v>0.677658156257575</v>
      </c>
      <c r="CH491" s="275">
        <f t="shared" si="1705"/>
        <v>0.690912319395899</v>
      </c>
      <c r="CI491" s="255">
        <f t="shared" si="1705"/>
        <v>0.437626015610963</v>
      </c>
      <c r="CJ491" s="254">
        <f t="shared" si="1705"/>
        <v>0.595049215329881</v>
      </c>
      <c r="CK491" s="255">
        <f t="shared" si="1705"/>
        <v>0.380451578209344</v>
      </c>
      <c r="CL491" s="255">
        <f t="shared" si="1705"/>
        <v>0.322174397254914</v>
      </c>
      <c r="CM491" s="275">
        <f t="shared" si="1705"/>
        <v>0.297566475617777</v>
      </c>
      <c r="CN491" s="255">
        <f t="shared" ref="CN491:CT491" si="1706">CN490/CI490-1</f>
        <v>0.4279386238978</v>
      </c>
      <c r="CO491" s="254">
        <f t="shared" si="1706"/>
        <v>0.352492151044777</v>
      </c>
      <c r="CP491" s="255">
        <f t="shared" si="1706"/>
        <v>0.331684730618645</v>
      </c>
      <c r="CQ491" s="255">
        <f t="shared" si="1706"/>
        <v>0.325433791825454</v>
      </c>
      <c r="CR491" s="275">
        <f t="shared" si="1706"/>
        <v>0.324070366741917</v>
      </c>
      <c r="CS491" s="255">
        <f t="shared" si="1706"/>
        <v>0.324526173504615</v>
      </c>
      <c r="CT491" s="254">
        <f t="shared" si="1706"/>
        <v>0.326315643082885</v>
      </c>
      <c r="CU491" s="255"/>
      <c r="CV491" s="255"/>
      <c r="CW491" s="255"/>
      <c r="CX491" s="255"/>
      <c r="CY491" s="254"/>
      <c r="CZ491" s="255"/>
      <c r="DA491" s="255"/>
      <c r="DB491" s="255"/>
      <c r="DC491" s="255"/>
      <c r="DD491" s="254"/>
      <c r="DE491" s="255"/>
      <c r="DF491" s="255"/>
      <c r="DG491" s="255"/>
      <c r="DH491" s="255"/>
      <c r="DI491" s="254"/>
      <c r="DJ491" s="255"/>
      <c r="DK491" s="255"/>
      <c r="DL491" s="255"/>
      <c r="DM491" s="255"/>
      <c r="DN491" s="254"/>
      <c r="DO491" s="255"/>
      <c r="DP491" s="255"/>
      <c r="DQ491" s="255"/>
      <c r="DR491" s="255"/>
      <c r="DS491" s="254"/>
    </row>
    <row r="492" hidden="1" outlineLevel="1" spans="2:123">
      <c r="B492" s="262" t="s">
        <v>72</v>
      </c>
      <c r="C492" s="252"/>
      <c r="D492" s="253"/>
      <c r="E492" s="253"/>
      <c r="F492" s="253"/>
      <c r="G492" s="253"/>
      <c r="H492" s="252"/>
      <c r="I492" s="253"/>
      <c r="J492" s="253"/>
      <c r="K492" s="253"/>
      <c r="L492" s="253"/>
      <c r="M492" s="252"/>
      <c r="N492" s="255">
        <f t="shared" ref="N492:BY492" si="1707">-N490/N13</f>
        <v>0.183101129873067</v>
      </c>
      <c r="O492" s="255">
        <f t="shared" si="1707"/>
        <v>0.157802505699295</v>
      </c>
      <c r="P492" s="255">
        <f t="shared" si="1707"/>
        <v>0.143022826207236</v>
      </c>
      <c r="Q492" s="255">
        <f t="shared" si="1707"/>
        <v>0.163455772852921</v>
      </c>
      <c r="R492" s="254">
        <f t="shared" si="1707"/>
        <v>0.160530980863076</v>
      </c>
      <c r="S492" s="255">
        <f t="shared" si="1707"/>
        <v>0.196641841940078</v>
      </c>
      <c r="T492" s="255">
        <f t="shared" si="1707"/>
        <v>0.130772669010514</v>
      </c>
      <c r="U492" s="255">
        <f t="shared" si="1707"/>
        <v>0.125518203442307</v>
      </c>
      <c r="V492" s="255">
        <f t="shared" si="1707"/>
        <v>0.154194051250469</v>
      </c>
      <c r="W492" s="254">
        <f t="shared" si="1707"/>
        <v>0.150865778377235</v>
      </c>
      <c r="X492" s="255">
        <f t="shared" si="1707"/>
        <v>0.176261018609207</v>
      </c>
      <c r="Y492" s="255">
        <f t="shared" si="1707"/>
        <v>0.13541613368672</v>
      </c>
      <c r="Z492" s="255">
        <f t="shared" si="1707"/>
        <v>0.127742689851272</v>
      </c>
      <c r="AA492" s="255">
        <f t="shared" si="1707"/>
        <v>0.0619466271496706</v>
      </c>
      <c r="AB492" s="254">
        <f t="shared" si="1707"/>
        <v>0.114816139616426</v>
      </c>
      <c r="AC492" s="255">
        <f t="shared" si="1707"/>
        <v>0.154414050919398</v>
      </c>
      <c r="AD492" s="255">
        <f t="shared" si="1707"/>
        <v>0.10667639020288</v>
      </c>
      <c r="AE492" s="255">
        <f t="shared" si="1707"/>
        <v>0.101564277588168</v>
      </c>
      <c r="AF492" s="255">
        <f t="shared" si="1707"/>
        <v>0.0556359235367707</v>
      </c>
      <c r="AG492" s="254">
        <f t="shared" si="1707"/>
        <v>0.0970909254409136</v>
      </c>
      <c r="AH492" s="255">
        <f t="shared" si="1707"/>
        <v>0.0895920334082878</v>
      </c>
      <c r="AI492" s="255">
        <f t="shared" si="1707"/>
        <v>0.0822897189659151</v>
      </c>
      <c r="AJ492" s="255">
        <f t="shared" si="1707"/>
        <v>0.0841427181429614</v>
      </c>
      <c r="AK492" s="255">
        <f t="shared" si="1707"/>
        <v>0.0641230620155039</v>
      </c>
      <c r="AL492" s="254">
        <f t="shared" si="1707"/>
        <v>0.0773351158378121</v>
      </c>
      <c r="AM492" s="255">
        <f t="shared" si="1707"/>
        <v>0.0878550077354409</v>
      </c>
      <c r="AN492" s="255">
        <f t="shared" si="1707"/>
        <v>0.0847208757615857</v>
      </c>
      <c r="AO492" s="255">
        <f t="shared" si="1707"/>
        <v>0.083750082928694</v>
      </c>
      <c r="AP492" s="255">
        <f t="shared" si="1707"/>
        <v>0.0576551155965192</v>
      </c>
      <c r="AQ492" s="254">
        <f t="shared" si="1707"/>
        <v>0.0755607511416425</v>
      </c>
      <c r="AR492" s="255">
        <f t="shared" si="1707"/>
        <v>0.084706549213088</v>
      </c>
      <c r="AS492" s="255">
        <f t="shared" si="1707"/>
        <v>0.0827312757428602</v>
      </c>
      <c r="AT492" s="255">
        <f t="shared" si="1707"/>
        <v>0.0787496709660437</v>
      </c>
      <c r="AU492" s="255">
        <f t="shared" si="1707"/>
        <v>0.0369294788989487</v>
      </c>
      <c r="AV492" s="254">
        <f t="shared" si="1707"/>
        <v>0.0672133022622091</v>
      </c>
      <c r="AW492" s="255">
        <f t="shared" si="1707"/>
        <v>0.0943507584148428</v>
      </c>
      <c r="AX492" s="255">
        <f t="shared" si="1707"/>
        <v>0.0885170464288365</v>
      </c>
      <c r="AY492" s="255">
        <f t="shared" si="1707"/>
        <v>0.0677283522017377</v>
      </c>
      <c r="AZ492" s="255">
        <f t="shared" si="1707"/>
        <v>0.0392584514721919</v>
      </c>
      <c r="BA492" s="254">
        <f t="shared" si="1707"/>
        <v>0.0684015780014578</v>
      </c>
      <c r="BB492" s="255">
        <f t="shared" si="1707"/>
        <v>0.0874501822714995</v>
      </c>
      <c r="BC492" s="255">
        <f t="shared" si="1707"/>
        <v>0.0771108805545131</v>
      </c>
      <c r="BD492" s="255">
        <f t="shared" si="1707"/>
        <v>0.0877748893563175</v>
      </c>
      <c r="BE492" s="255">
        <f t="shared" si="1707"/>
        <v>0.0509658145386184</v>
      </c>
      <c r="BF492" s="254">
        <f t="shared" si="1707"/>
        <v>0.0727824926001797</v>
      </c>
      <c r="BG492" s="255">
        <f t="shared" si="1707"/>
        <v>0.113598753622486</v>
      </c>
      <c r="BH492" s="255">
        <f t="shared" si="1707"/>
        <v>0.0847352872580269</v>
      </c>
      <c r="BI492" s="255">
        <f t="shared" si="1707"/>
        <v>0.0878354052783166</v>
      </c>
      <c r="BJ492" s="255">
        <f t="shared" si="1707"/>
        <v>0.0699622756158696</v>
      </c>
      <c r="BK492" s="254">
        <f t="shared" si="1707"/>
        <v>0.0865780978607673</v>
      </c>
      <c r="BL492" s="255">
        <f t="shared" si="1707"/>
        <v>0.101101849485016</v>
      </c>
      <c r="BM492" s="255">
        <f t="shared" si="1707"/>
        <v>0.112826002402531</v>
      </c>
      <c r="BN492" s="255">
        <f t="shared" si="1707"/>
        <v>0.0820019578892274</v>
      </c>
      <c r="BO492" s="255">
        <f t="shared" si="1707"/>
        <v>0.0635758737268244</v>
      </c>
      <c r="BP492" s="254">
        <f t="shared" si="1707"/>
        <v>0.0860539601951551</v>
      </c>
      <c r="BQ492" s="255">
        <f t="shared" si="1707"/>
        <v>0.105396669026876</v>
      </c>
      <c r="BR492" s="255">
        <f t="shared" si="1707"/>
        <v>0.0992218382861092</v>
      </c>
      <c r="BS492" s="255">
        <f t="shared" si="1707"/>
        <v>0.0981134346724091</v>
      </c>
      <c r="BT492" s="255">
        <f t="shared" si="1707"/>
        <v>0.062313276871</v>
      </c>
      <c r="BU492" s="254">
        <f t="shared" si="1707"/>
        <v>0.0870855291107706</v>
      </c>
      <c r="BV492" s="255">
        <f t="shared" si="1707"/>
        <v>0.106610508554738</v>
      </c>
      <c r="BW492" s="255">
        <f t="shared" si="1707"/>
        <v>0.100809190447296</v>
      </c>
      <c r="BX492" s="255">
        <f t="shared" si="1707"/>
        <v>0.100568715205764</v>
      </c>
      <c r="BY492" s="255">
        <f t="shared" si="1707"/>
        <v>0.0648100178890877</v>
      </c>
      <c r="BZ492" s="254">
        <f t="shared" ref="BZ492:CT492" si="1708">-BZ490/BZ13</f>
        <v>0.0892516134252866</v>
      </c>
      <c r="CA492" s="255">
        <f t="shared" si="1708"/>
        <v>0.143832002478672</v>
      </c>
      <c r="CB492" s="255">
        <f t="shared" si="1708"/>
        <v>0.109659678007041</v>
      </c>
      <c r="CC492" s="255">
        <f t="shared" si="1708"/>
        <v>0.0957575714185995</v>
      </c>
      <c r="CD492" s="255">
        <f t="shared" si="1708"/>
        <v>0.0579259831447681</v>
      </c>
      <c r="CE492" s="254">
        <f t="shared" si="1708"/>
        <v>0.0908650601254601</v>
      </c>
      <c r="CF492" s="255">
        <f t="shared" si="1708"/>
        <v>0.119779759245187</v>
      </c>
      <c r="CG492" s="255">
        <f t="shared" si="1708"/>
        <v>0.114513262623241</v>
      </c>
      <c r="CH492" s="275">
        <f t="shared" si="1708"/>
        <v>0.124743781288329</v>
      </c>
      <c r="CI492" s="255">
        <f t="shared" si="1708"/>
        <v>0.0676482385531552</v>
      </c>
      <c r="CJ492" s="254">
        <f t="shared" si="1708"/>
        <v>0.101969323038313</v>
      </c>
      <c r="CK492" s="255">
        <f t="shared" si="1708"/>
        <v>0.125691137633773</v>
      </c>
      <c r="CL492" s="255">
        <f t="shared" si="1708"/>
        <v>0.117555910953537</v>
      </c>
      <c r="CM492" s="275">
        <f t="shared" si="1708"/>
        <v>0.126431897652471</v>
      </c>
      <c r="CN492" s="255">
        <f t="shared" si="1708"/>
        <v>0.0741984199653803</v>
      </c>
      <c r="CO492" s="254">
        <f t="shared" si="1708"/>
        <v>0.106388642501009</v>
      </c>
      <c r="CP492" s="255">
        <f t="shared" si="1708"/>
        <v>0.134978048692718</v>
      </c>
      <c r="CQ492" s="255">
        <f t="shared" si="1708"/>
        <v>0.131773317067761</v>
      </c>
      <c r="CR492" s="275">
        <f t="shared" si="1708"/>
        <v>0.14102597837419</v>
      </c>
      <c r="CS492" s="255">
        <f t="shared" si="1708"/>
        <v>0.084992588381715</v>
      </c>
      <c r="CT492" s="254">
        <f t="shared" si="1708"/>
        <v>0.118972962419841</v>
      </c>
      <c r="CU492" s="255"/>
      <c r="CV492" s="255"/>
      <c r="CW492" s="255"/>
      <c r="CX492" s="255"/>
      <c r="CY492" s="254"/>
      <c r="CZ492" s="255"/>
      <c r="DA492" s="255"/>
      <c r="DB492" s="255"/>
      <c r="DC492" s="255"/>
      <c r="DD492" s="254"/>
      <c r="DE492" s="255"/>
      <c r="DF492" s="255"/>
      <c r="DG492" s="255"/>
      <c r="DH492" s="255"/>
      <c r="DI492" s="254"/>
      <c r="DJ492" s="255"/>
      <c r="DK492" s="255"/>
      <c r="DL492" s="255"/>
      <c r="DM492" s="255"/>
      <c r="DN492" s="254"/>
      <c r="DO492" s="255"/>
      <c r="DP492" s="255"/>
      <c r="DQ492" s="255"/>
      <c r="DR492" s="255"/>
      <c r="DS492" s="254"/>
    </row>
    <row r="493" hidden="1" outlineLevel="1" spans="2:123">
      <c r="B493" s="476" t="s">
        <v>73</v>
      </c>
      <c r="C493" s="477"/>
      <c r="D493" s="478"/>
      <c r="E493" s="478"/>
      <c r="F493" s="478"/>
      <c r="G493" s="478"/>
      <c r="H493" s="477"/>
      <c r="I493" s="478"/>
      <c r="J493" s="478"/>
      <c r="K493" s="478"/>
      <c r="L493" s="478"/>
      <c r="M493" s="477"/>
      <c r="N493" s="478"/>
      <c r="O493" s="478"/>
      <c r="P493" s="478"/>
      <c r="Q493" s="478"/>
      <c r="R493" s="477"/>
      <c r="S493" s="479">
        <f t="shared" ref="S493:AX493" si="1709">(S492-N492)*100*100</f>
        <v>135.407120670115</v>
      </c>
      <c r="T493" s="479">
        <f t="shared" si="1709"/>
        <v>-270.298366887804</v>
      </c>
      <c r="U493" s="479">
        <f t="shared" si="1709"/>
        <v>-175.046227649286</v>
      </c>
      <c r="V493" s="479">
        <f t="shared" si="1709"/>
        <v>-92.6172160245212</v>
      </c>
      <c r="W493" s="480">
        <f t="shared" si="1709"/>
        <v>-96.6520248584096</v>
      </c>
      <c r="X493" s="479">
        <f t="shared" si="1709"/>
        <v>-203.808233308714</v>
      </c>
      <c r="Y493" s="479">
        <f t="shared" si="1709"/>
        <v>46.4346467620599</v>
      </c>
      <c r="Z493" s="479">
        <f t="shared" si="1709"/>
        <v>22.2448640896503</v>
      </c>
      <c r="AA493" s="479">
        <f t="shared" si="1709"/>
        <v>-922.474241007985</v>
      </c>
      <c r="AB493" s="480">
        <f t="shared" si="1709"/>
        <v>-360.496387608096</v>
      </c>
      <c r="AC493" s="479">
        <f t="shared" si="1709"/>
        <v>-218.469676898085</v>
      </c>
      <c r="AD493" s="479">
        <f t="shared" si="1709"/>
        <v>-287.397434838401</v>
      </c>
      <c r="AE493" s="479">
        <f t="shared" si="1709"/>
        <v>-261.784122631041</v>
      </c>
      <c r="AF493" s="479">
        <f t="shared" si="1709"/>
        <v>-63.1070361289993</v>
      </c>
      <c r="AG493" s="480">
        <f t="shared" si="1709"/>
        <v>-177.252141755121</v>
      </c>
      <c r="AH493" s="479">
        <f t="shared" si="1709"/>
        <v>-648.220175111103</v>
      </c>
      <c r="AI493" s="479">
        <f t="shared" si="1709"/>
        <v>-243.866712369651</v>
      </c>
      <c r="AJ493" s="479">
        <f t="shared" si="1709"/>
        <v>-174.21559445207</v>
      </c>
      <c r="AK493" s="479">
        <f t="shared" si="1709"/>
        <v>84.871384787332</v>
      </c>
      <c r="AL493" s="480">
        <f t="shared" si="1709"/>
        <v>-197.558096031015</v>
      </c>
      <c r="AM493" s="479">
        <f t="shared" si="1709"/>
        <v>-17.3702567284691</v>
      </c>
      <c r="AN493" s="479">
        <f t="shared" si="1709"/>
        <v>24.3115679567052</v>
      </c>
      <c r="AO493" s="479">
        <f t="shared" si="1709"/>
        <v>-3.92635214267425</v>
      </c>
      <c r="AP493" s="479">
        <f t="shared" si="1709"/>
        <v>-64.679464189847</v>
      </c>
      <c r="AQ493" s="480">
        <f t="shared" si="1709"/>
        <v>-17.7436469616961</v>
      </c>
      <c r="AR493" s="479">
        <f t="shared" si="1709"/>
        <v>-31.4845852235293</v>
      </c>
      <c r="AS493" s="479">
        <f t="shared" si="1709"/>
        <v>-19.8960001872545</v>
      </c>
      <c r="AT493" s="479">
        <f t="shared" si="1709"/>
        <v>-50.0041196265025</v>
      </c>
      <c r="AU493" s="479">
        <f t="shared" si="1709"/>
        <v>-207.256366975705</v>
      </c>
      <c r="AV493" s="480">
        <f t="shared" si="1709"/>
        <v>-83.4744887943335</v>
      </c>
      <c r="AW493" s="479">
        <f t="shared" si="1709"/>
        <v>96.4420920175478</v>
      </c>
      <c r="AX493" s="479">
        <f t="shared" si="1709"/>
        <v>57.8577068597629</v>
      </c>
      <c r="AY493" s="479">
        <f t="shared" ref="AY493:BQ493" si="1710">(AY492-AT492)*100*100</f>
        <v>-110.21318764306</v>
      </c>
      <c r="AZ493" s="479">
        <f t="shared" si="1710"/>
        <v>23.2897257324322</v>
      </c>
      <c r="BA493" s="480">
        <f t="shared" si="1710"/>
        <v>11.8827573924869</v>
      </c>
      <c r="BB493" s="479">
        <f t="shared" si="1710"/>
        <v>-69.0057614334325</v>
      </c>
      <c r="BC493" s="479">
        <f t="shared" si="1710"/>
        <v>-114.061658743234</v>
      </c>
      <c r="BD493" s="479">
        <f t="shared" si="1710"/>
        <v>200.465371545797</v>
      </c>
      <c r="BE493" s="479">
        <f t="shared" si="1710"/>
        <v>117.073630664264</v>
      </c>
      <c r="BF493" s="480">
        <f t="shared" si="1710"/>
        <v>43.8091459872185</v>
      </c>
      <c r="BG493" s="479">
        <f t="shared" si="1710"/>
        <v>261.485713509869</v>
      </c>
      <c r="BH493" s="479">
        <f t="shared" si="1710"/>
        <v>76.2440670351376</v>
      </c>
      <c r="BI493" s="479">
        <f t="shared" si="1710"/>
        <v>0.60515921999113</v>
      </c>
      <c r="BJ493" s="479">
        <f t="shared" si="1710"/>
        <v>189.964610772512</v>
      </c>
      <c r="BK493" s="480">
        <f t="shared" si="1710"/>
        <v>137.956052605877</v>
      </c>
      <c r="BL493" s="479">
        <f t="shared" si="1710"/>
        <v>-124.969041374709</v>
      </c>
      <c r="BM493" s="479">
        <f t="shared" si="1710"/>
        <v>280.907151445037</v>
      </c>
      <c r="BN493" s="479">
        <f t="shared" si="1710"/>
        <v>-58.3344738908918</v>
      </c>
      <c r="BO493" s="479">
        <f t="shared" si="1710"/>
        <v>-63.8640188904516</v>
      </c>
      <c r="BP493" s="480">
        <f t="shared" si="1710"/>
        <v>-5.24137665612212</v>
      </c>
      <c r="BQ493" s="479">
        <f t="shared" si="1710"/>
        <v>42.9481954185999</v>
      </c>
      <c r="BR493" s="479">
        <f t="shared" ref="BR493:CT493" si="1711">(BR492-BM492)*100*100</f>
        <v>-136.041641164214</v>
      </c>
      <c r="BS493" s="479">
        <f t="shared" si="1711"/>
        <v>161.114767831817</v>
      </c>
      <c r="BT493" s="479">
        <f t="shared" si="1711"/>
        <v>-12.6259685582444</v>
      </c>
      <c r="BU493" s="480">
        <f t="shared" si="1711"/>
        <v>10.3156891561548</v>
      </c>
      <c r="BV493" s="479">
        <f t="shared" si="1711"/>
        <v>12.1383952786261</v>
      </c>
      <c r="BW493" s="479">
        <f t="shared" si="1711"/>
        <v>15.8735216118701</v>
      </c>
      <c r="BX493" s="479">
        <f t="shared" si="1711"/>
        <v>24.5528053335449</v>
      </c>
      <c r="BY493" s="479">
        <f t="shared" si="1711"/>
        <v>24.9674101808767</v>
      </c>
      <c r="BZ493" s="480">
        <f t="shared" si="1711"/>
        <v>21.6608431451604</v>
      </c>
      <c r="CA493" s="481">
        <f t="shared" si="1711"/>
        <v>372.214939239339</v>
      </c>
      <c r="CB493" s="481">
        <f t="shared" si="1711"/>
        <v>88.5048755974526</v>
      </c>
      <c r="CC493" s="481">
        <f t="shared" si="1711"/>
        <v>-48.1114378716403</v>
      </c>
      <c r="CD493" s="481">
        <f t="shared" si="1711"/>
        <v>-68.8403474431954</v>
      </c>
      <c r="CE493" s="480">
        <f t="shared" si="1711"/>
        <v>16.1344670017344</v>
      </c>
      <c r="CF493" s="481">
        <f t="shared" si="1711"/>
        <v>-240.52243233485</v>
      </c>
      <c r="CG493" s="481">
        <f t="shared" si="1711"/>
        <v>48.5358461619913</v>
      </c>
      <c r="CH493" s="481">
        <f t="shared" si="1711"/>
        <v>289.862098697299</v>
      </c>
      <c r="CI493" s="481">
        <f t="shared" si="1711"/>
        <v>97.2225540838711</v>
      </c>
      <c r="CJ493" s="480">
        <f t="shared" si="1711"/>
        <v>111.042629128528</v>
      </c>
      <c r="CK493" s="481">
        <f t="shared" si="1711"/>
        <v>59.113783885858</v>
      </c>
      <c r="CL493" s="481">
        <f t="shared" si="1711"/>
        <v>30.4264833029648</v>
      </c>
      <c r="CM493" s="481">
        <f t="shared" si="1711"/>
        <v>16.8811636414201</v>
      </c>
      <c r="CN493" s="481">
        <f t="shared" si="1711"/>
        <v>65.5018141222512</v>
      </c>
      <c r="CO493" s="480">
        <f t="shared" si="1711"/>
        <v>44.1931946269633</v>
      </c>
      <c r="CP493" s="481">
        <f t="shared" si="1711"/>
        <v>92.8691105894486</v>
      </c>
      <c r="CQ493" s="481">
        <f t="shared" si="1711"/>
        <v>142.174061142238</v>
      </c>
      <c r="CR493" s="481">
        <f t="shared" si="1711"/>
        <v>145.940807217184</v>
      </c>
      <c r="CS493" s="481">
        <f t="shared" si="1711"/>
        <v>107.941684163347</v>
      </c>
      <c r="CT493" s="480">
        <f t="shared" si="1711"/>
        <v>125.843199188315</v>
      </c>
      <c r="CU493" s="481"/>
      <c r="CV493" s="482"/>
      <c r="CW493" s="482"/>
      <c r="CX493" s="482"/>
      <c r="CY493" s="480"/>
      <c r="CZ493" s="482"/>
      <c r="DA493" s="482"/>
      <c r="DB493" s="482"/>
      <c r="DC493" s="482"/>
      <c r="DD493" s="480"/>
      <c r="DE493" s="482"/>
      <c r="DF493" s="482"/>
      <c r="DG493" s="482"/>
      <c r="DH493" s="482"/>
      <c r="DI493" s="480"/>
      <c r="DJ493" s="482"/>
      <c r="DK493" s="482"/>
      <c r="DL493" s="482"/>
      <c r="DM493" s="482"/>
      <c r="DN493" s="480"/>
      <c r="DO493" s="482"/>
      <c r="DP493" s="482"/>
      <c r="DQ493" s="482"/>
      <c r="DR493" s="482"/>
      <c r="DS493" s="480"/>
    </row>
    <row r="494" collapsed="1"/>
  </sheetData>
  <pageMargins left="0.7" right="0.7" top="0.75" bottom="0.75" header="0.3" footer="0.3"/>
  <pageSetup paperSize="1" orientation="portrait"/>
  <headerFooter/>
  <customProperties>
    <customPr name="Qube.Worksheet.Visibility" r:id="rId1"/>
  </customProperties>
  <ignoredErrors>
    <ignoredError sqref="BZ19:CC20 CE19:CE20 CJ19:CJ20 CL19:CL20 CJ36 CL24 CL14 CJ24 CJ16:CJ17 CJ14 BZ36:CD36 CE24:CE25 BZ24:CC24 CE14 BZ25:CB25 CE16:CE17 BZ16:CB17 BZ14:CC1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pageSetUpPr fitToPage="1"/>
  </sheetPr>
  <dimension ref="B1:CN73"/>
  <sheetViews>
    <sheetView showGridLines="0" zoomScale="85" zoomScaleNormal="85" workbookViewId="0">
      <pane xSplit="2" ySplit="6" topLeftCell="AU9" activePane="bottomRight" state="frozen"/>
      <selection/>
      <selection pane="topRight"/>
      <selection pane="bottomLeft"/>
      <selection pane="bottomRight" activeCell="A1" sqref="A1"/>
    </sheetView>
  </sheetViews>
  <sheetFormatPr defaultColWidth="9.14423076923077" defaultRowHeight="15.2"/>
  <cols>
    <col min="1" max="1" width="2.71153846153846" style="6" customWidth="1"/>
    <col min="2" max="2" width="31.2884615384615" style="6" customWidth="1"/>
    <col min="3" max="6" width="9.14423076923077" style="6" hidden="1" customWidth="1" outlineLevel="1"/>
    <col min="7" max="7" width="9.14423076923077" style="6" customWidth="1" collapsed="1"/>
    <col min="8" max="11" width="9.14423076923077" style="6" hidden="1" customWidth="1" outlineLevel="1"/>
    <col min="12" max="12" width="9.14423076923077" style="6" customWidth="1" collapsed="1"/>
    <col min="13" max="16" width="9.14423076923077" style="6" hidden="1" customWidth="1" outlineLevel="1"/>
    <col min="17" max="17" width="9.14423076923077" style="6" customWidth="1" collapsed="1"/>
    <col min="18" max="21" width="9.14423076923077" style="6" hidden="1" customWidth="1" outlineLevel="1"/>
    <col min="22" max="22" width="9.14423076923077" style="6" customWidth="1" collapsed="1"/>
    <col min="23" max="26" width="9.14423076923077" style="6" hidden="1" customWidth="1" outlineLevel="1"/>
    <col min="27" max="27" width="9.14423076923077" style="6" customWidth="1" collapsed="1"/>
    <col min="28" max="31" width="9.14423076923077" style="6" hidden="1" customWidth="1" outlineLevel="1"/>
    <col min="32" max="32" width="9.14423076923077" style="6" customWidth="1" collapsed="1"/>
    <col min="33" max="36" width="9.14423076923077" style="6" hidden="1" customWidth="1" outlineLevel="1"/>
    <col min="37" max="37" width="9.14423076923077" style="6" customWidth="1" collapsed="1"/>
    <col min="38" max="41" width="9.14423076923077" style="6" hidden="1" customWidth="1" outlineLevel="1"/>
    <col min="42" max="42" width="9.14423076923077" style="6" customWidth="1" collapsed="1"/>
    <col min="43" max="46" width="9.14423076923077" style="6" hidden="1" customWidth="1" outlineLevel="1"/>
    <col min="47" max="47" width="9.14423076923077" style="6" customWidth="1" collapsed="1"/>
    <col min="48" max="51" width="9.14423076923077" style="6" hidden="1" customWidth="1" outlineLevel="1"/>
    <col min="52" max="52" width="9.14423076923077" style="6" customWidth="1" collapsed="1"/>
    <col min="53" max="56" width="9.14423076923077" style="6" hidden="1" customWidth="1" outlineLevel="1"/>
    <col min="57" max="57" width="9.14423076923077" style="6" customWidth="1" collapsed="1"/>
    <col min="58" max="61" width="9.14423076923077" style="6" hidden="1" customWidth="1" outlineLevel="1"/>
    <col min="62" max="62" width="9.14423076923077" style="6" customWidth="1" collapsed="1"/>
    <col min="63" max="66" width="9.14423076923077" style="6" hidden="1" customWidth="1" outlineLevel="1"/>
    <col min="67" max="67" width="9.14423076923077" style="6" customWidth="1" collapsed="1"/>
    <col min="68" max="71" width="9.14423076923077" style="6" hidden="1" customWidth="1" outlineLevel="1"/>
    <col min="72" max="72" width="9.14423076923077" style="6" customWidth="1" collapsed="1"/>
    <col min="73" max="76" width="9.14423076923077" style="6" customWidth="1" outlineLevel="1"/>
    <col min="77" max="77" width="9.14423076923077" style="6" customWidth="1"/>
    <col min="78" max="81" width="9.14423076923077" style="6" customWidth="1" outlineLevel="1"/>
    <col min="82" max="82" width="9.14423076923077" style="6" customWidth="1"/>
    <col min="83" max="86" width="9.14423076923077" style="6" customWidth="1" outlineLevel="1"/>
    <col min="87" max="87" width="9.14423076923077" style="6" customWidth="1"/>
    <col min="88" max="91" width="9.14423076923077" style="6" customWidth="1" outlineLevel="1"/>
    <col min="92" max="92" width="9.14423076923077" style="6" customWidth="1"/>
    <col min="93" max="16384" width="9.14423076923077" style="6"/>
  </cols>
  <sheetData>
    <row r="1" ht="12.75" customHeight="1" spans="2:92">
      <c r="B1" s="7" t="s">
        <v>481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</row>
    <row r="2" spans="2:92">
      <c r="B2" s="9" t="s">
        <v>482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</row>
    <row r="3" spans="2:92">
      <c r="B3" s="9" t="s">
        <v>483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</row>
    <row r="5" ht="15" customHeight="1" spans="2:92">
      <c r="B5" s="10" t="s">
        <v>481</v>
      </c>
      <c r="C5" s="11" t="str">
        <f>'3. Earnings Build'!AH5</f>
        <v>Apr</v>
      </c>
      <c r="D5" s="11" t="str">
        <f>'3. Earnings Build'!AI5</f>
        <v>Jul</v>
      </c>
      <c r="E5" s="11" t="str">
        <f>'3. Earnings Build'!AJ5</f>
        <v>Oct</v>
      </c>
      <c r="F5" s="11" t="str">
        <f>'3. Earnings Build'!AK5</f>
        <v>Jan</v>
      </c>
      <c r="G5" s="12" t="str">
        <f>'3. Earnings Build'!AL5</f>
        <v>Jan</v>
      </c>
      <c r="H5" s="11" t="str">
        <f>'3. Earnings Build'!AM5</f>
        <v>Apr</v>
      </c>
      <c r="I5" s="11" t="str">
        <f>'3. Earnings Build'!AN5</f>
        <v>Jul</v>
      </c>
      <c r="J5" s="11" t="str">
        <f>'3. Earnings Build'!AO5</f>
        <v>Oct</v>
      </c>
      <c r="K5" s="11" t="str">
        <f>'3. Earnings Build'!AP5</f>
        <v>Jan</v>
      </c>
      <c r="L5" s="12" t="str">
        <f>'3. Earnings Build'!AQ5</f>
        <v>Jan</v>
      </c>
      <c r="M5" s="11" t="str">
        <f>'3. Earnings Build'!AR5</f>
        <v>Apr</v>
      </c>
      <c r="N5" s="11" t="str">
        <f>'3. Earnings Build'!AS5</f>
        <v>Jul</v>
      </c>
      <c r="O5" s="11" t="str">
        <f>'3. Earnings Build'!AT5</f>
        <v>Oct</v>
      </c>
      <c r="P5" s="11" t="str">
        <f>'3. Earnings Build'!AU5</f>
        <v>Jan</v>
      </c>
      <c r="Q5" s="12" t="str">
        <f>'3. Earnings Build'!AV5</f>
        <v>Jan</v>
      </c>
      <c r="R5" s="11" t="str">
        <f>'3. Earnings Build'!AW5</f>
        <v>Apr</v>
      </c>
      <c r="S5" s="11" t="str">
        <f>'3. Earnings Build'!AX5</f>
        <v>Jul</v>
      </c>
      <c r="T5" s="11" t="str">
        <f>'3. Earnings Build'!AY5</f>
        <v>Oct</v>
      </c>
      <c r="U5" s="11" t="str">
        <f>'3. Earnings Build'!AZ5</f>
        <v>Jan</v>
      </c>
      <c r="V5" s="12" t="str">
        <f>'3. Earnings Build'!BA5</f>
        <v>Jan</v>
      </c>
      <c r="W5" s="11" t="str">
        <f>'3. Earnings Build'!BB5</f>
        <v>Apr</v>
      </c>
      <c r="X5" s="11" t="str">
        <f>'3. Earnings Build'!BC5</f>
        <v>Jul</v>
      </c>
      <c r="Y5" s="11" t="str">
        <f>'3. Earnings Build'!BD5</f>
        <v>Oct</v>
      </c>
      <c r="Z5" s="11" t="str">
        <f>'3. Earnings Build'!BE5</f>
        <v>Jan</v>
      </c>
      <c r="AA5" s="12" t="str">
        <f>'3. Earnings Build'!BF5</f>
        <v>Jan</v>
      </c>
      <c r="AB5" s="11" t="str">
        <f>'3. Earnings Build'!BG5</f>
        <v>Apr</v>
      </c>
      <c r="AC5" s="11" t="str">
        <f>'3. Earnings Build'!BH5</f>
        <v>Jul</v>
      </c>
      <c r="AD5" s="11" t="str">
        <f>'3. Earnings Build'!BI5</f>
        <v>Oct</v>
      </c>
      <c r="AE5" s="11" t="str">
        <f>'3. Earnings Build'!BJ5</f>
        <v>Jan</v>
      </c>
      <c r="AF5" s="12" t="str">
        <f>'3. Earnings Build'!BK5</f>
        <v>Jan</v>
      </c>
      <c r="AG5" s="11" t="str">
        <f>'3. Earnings Build'!BL5</f>
        <v>Apr</v>
      </c>
      <c r="AH5" s="11" t="str">
        <f>'3. Earnings Build'!BM5</f>
        <v>Jul</v>
      </c>
      <c r="AI5" s="11" t="str">
        <f>'3. Earnings Build'!BN5</f>
        <v>Oct</v>
      </c>
      <c r="AJ5" s="11" t="str">
        <f>'3. Earnings Build'!BO5</f>
        <v>Jan</v>
      </c>
      <c r="AK5" s="12" t="str">
        <f>'3. Earnings Build'!BP5</f>
        <v>Jan</v>
      </c>
      <c r="AL5" s="11" t="str">
        <f>'3. Earnings Build'!BQ5</f>
        <v>Apr</v>
      </c>
      <c r="AM5" s="11" t="str">
        <f>'3. Earnings Build'!BR5</f>
        <v>Jul</v>
      </c>
      <c r="AN5" s="11" t="str">
        <f>'3. Earnings Build'!BS5</f>
        <v>Oct</v>
      </c>
      <c r="AO5" s="11" t="str">
        <f>'3. Earnings Build'!BT5</f>
        <v>Jan</v>
      </c>
      <c r="AP5" s="12" t="str">
        <f>'3. Earnings Build'!BU5</f>
        <v>Jan</v>
      </c>
      <c r="AQ5" s="11" t="str">
        <f>'3. Earnings Build'!BV5</f>
        <v>Apr</v>
      </c>
      <c r="AR5" s="11" t="str">
        <f>'3. Earnings Build'!BW5</f>
        <v>Jul</v>
      </c>
      <c r="AS5" s="11" t="str">
        <f>'3. Earnings Build'!BX5</f>
        <v>Oct</v>
      </c>
      <c r="AT5" s="11" t="str">
        <f>'3. Earnings Build'!BY5</f>
        <v>Jan</v>
      </c>
      <c r="AU5" s="12" t="str">
        <f>'3. Earnings Build'!BZ5</f>
        <v>Jan</v>
      </c>
      <c r="AV5" s="11" t="str">
        <f>'3. Earnings Build'!CA5</f>
        <v>Apr</v>
      </c>
      <c r="AW5" s="11" t="str">
        <f>'3. Earnings Build'!CB5</f>
        <v>Jul</v>
      </c>
      <c r="AX5" s="11" t="str">
        <f>'3. Earnings Build'!CC5</f>
        <v>Oct</v>
      </c>
      <c r="AY5" s="11" t="str">
        <f>'3. Earnings Build'!CD5</f>
        <v>Jan</v>
      </c>
      <c r="AZ5" s="12" t="str">
        <f>'3. Earnings Build'!CE5</f>
        <v>Jan</v>
      </c>
      <c r="BA5" s="11" t="str">
        <f>'3. Earnings Build'!CF5</f>
        <v>Apr</v>
      </c>
      <c r="BB5" s="11" t="str">
        <f>'3. Earnings Build'!CG5</f>
        <v>Jul</v>
      </c>
      <c r="BC5" s="11" t="str">
        <f>'3. Earnings Build'!CH5</f>
        <v>Oct</v>
      </c>
      <c r="BD5" s="11" t="str">
        <f>'3. Earnings Build'!CI5</f>
        <v>Jan</v>
      </c>
      <c r="BE5" s="12" t="str">
        <f>'3. Earnings Build'!CJ5</f>
        <v>Jan</v>
      </c>
      <c r="BF5" s="11" t="str">
        <f>'3. Earnings Build'!CK5</f>
        <v>Apr</v>
      </c>
      <c r="BG5" s="11" t="str">
        <f>'3. Earnings Build'!CL5</f>
        <v>Jul</v>
      </c>
      <c r="BH5" s="11" t="str">
        <f>'3. Earnings Build'!CM5</f>
        <v>Oct</v>
      </c>
      <c r="BI5" s="11" t="str">
        <f>'3. Earnings Build'!CN5</f>
        <v>Jan</v>
      </c>
      <c r="BJ5" s="12" t="str">
        <f>'3. Earnings Build'!CO5</f>
        <v>Jan</v>
      </c>
      <c r="BK5" s="11" t="str">
        <f>'3. Earnings Build'!CP5</f>
        <v>Apr</v>
      </c>
      <c r="BL5" s="11" t="str">
        <f>'3. Earnings Build'!CQ5</f>
        <v>Jul</v>
      </c>
      <c r="BM5" s="11" t="str">
        <f>'3. Earnings Build'!CR5</f>
        <v>Oct</v>
      </c>
      <c r="BN5" s="11" t="str">
        <f>'3. Earnings Build'!CS5</f>
        <v>Jan</v>
      </c>
      <c r="BO5" s="12" t="str">
        <f>'3. Earnings Build'!CT5</f>
        <v>Jan</v>
      </c>
      <c r="BP5" s="11" t="str">
        <f>'3. Earnings Build'!CU5</f>
        <v>Apr</v>
      </c>
      <c r="BQ5" s="11" t="str">
        <f>'3. Earnings Build'!CV5</f>
        <v>Jul</v>
      </c>
      <c r="BR5" s="11" t="str">
        <f>'3. Earnings Build'!CW5</f>
        <v>Oct</v>
      </c>
      <c r="BS5" s="11" t="str">
        <f>'3. Earnings Build'!CX5</f>
        <v>Jan</v>
      </c>
      <c r="BT5" s="12" t="str">
        <f>'3. Earnings Build'!CY5</f>
        <v>Jan</v>
      </c>
      <c r="BU5" s="11" t="str">
        <f>'3. Earnings Build'!CZ5</f>
        <v>Apr</v>
      </c>
      <c r="BV5" s="11" t="str">
        <f>'3. Earnings Build'!DA5</f>
        <v>Jul</v>
      </c>
      <c r="BW5" s="11" t="str">
        <f>'3. Earnings Build'!DB5</f>
        <v>Oct</v>
      </c>
      <c r="BX5" s="11" t="str">
        <f>'3. Earnings Build'!DC5</f>
        <v>Jan</v>
      </c>
      <c r="BY5" s="12" t="str">
        <f>'3. Earnings Build'!DD5</f>
        <v>Jan</v>
      </c>
      <c r="BZ5" s="11" t="str">
        <f>'3. Earnings Build'!DE5</f>
        <v>Apr</v>
      </c>
      <c r="CA5" s="11" t="str">
        <f>'3. Earnings Build'!DF5</f>
        <v>Jul</v>
      </c>
      <c r="CB5" s="11" t="str">
        <f>'3. Earnings Build'!DG5</f>
        <v>Oct</v>
      </c>
      <c r="CC5" s="11" t="str">
        <f>'3. Earnings Build'!DH5</f>
        <v>Jan</v>
      </c>
      <c r="CD5" s="12" t="str">
        <f>'3. Earnings Build'!DI5</f>
        <v>Jan</v>
      </c>
      <c r="CE5" s="11" t="str">
        <f>'3. Earnings Build'!DJ5</f>
        <v>Apr</v>
      </c>
      <c r="CF5" s="11" t="str">
        <f>'3. Earnings Build'!DK5</f>
        <v>Jul</v>
      </c>
      <c r="CG5" s="11" t="str">
        <f>'3. Earnings Build'!DL5</f>
        <v>Oct</v>
      </c>
      <c r="CH5" s="11" t="str">
        <f>'3. Earnings Build'!DM5</f>
        <v>Jan</v>
      </c>
      <c r="CI5" s="12" t="str">
        <f>'3. Earnings Build'!DN5</f>
        <v>Jan</v>
      </c>
      <c r="CJ5" s="11" t="str">
        <f>'3. Earnings Build'!DO5</f>
        <v>Apr</v>
      </c>
      <c r="CK5" s="11" t="str">
        <f>'3. Earnings Build'!DP5</f>
        <v>Jul</v>
      </c>
      <c r="CL5" s="11" t="str">
        <f>'3. Earnings Build'!DQ5</f>
        <v>Oct</v>
      </c>
      <c r="CM5" s="11" t="str">
        <f>'3. Earnings Build'!DR5</f>
        <v>Jan</v>
      </c>
      <c r="CN5" s="12" t="str">
        <f>'3. Earnings Build'!DS5</f>
        <v>Jan</v>
      </c>
    </row>
    <row r="6" ht="15" customHeight="1" spans="2:92">
      <c r="B6" s="13" t="s">
        <v>484</v>
      </c>
      <c r="C6" s="14" t="str">
        <f>'3. Earnings Build'!AH6</f>
        <v>1Q</v>
      </c>
      <c r="D6" s="14" t="str">
        <f>'3. Earnings Build'!AI6</f>
        <v>2Q</v>
      </c>
      <c r="E6" s="14" t="str">
        <f>'3. Earnings Build'!AJ6</f>
        <v>3Q</v>
      </c>
      <c r="F6" s="14" t="str">
        <f>'3. Earnings Build'!AK6</f>
        <v>4Q</v>
      </c>
      <c r="G6" s="15" t="str">
        <f>'3. Earnings Build'!AL6</f>
        <v>FY11</v>
      </c>
      <c r="H6" s="14" t="str">
        <f>'3. Earnings Build'!AM6</f>
        <v>1Q</v>
      </c>
      <c r="I6" s="14" t="str">
        <f>'3. Earnings Build'!AN6</f>
        <v>2Q</v>
      </c>
      <c r="J6" s="14" t="str">
        <f>'3. Earnings Build'!AO6</f>
        <v>3Q</v>
      </c>
      <c r="K6" s="14" t="str">
        <f>'3. Earnings Build'!AP6</f>
        <v>4Q</v>
      </c>
      <c r="L6" s="15" t="str">
        <f>'3. Earnings Build'!AQ6</f>
        <v>FY12</v>
      </c>
      <c r="M6" s="14" t="str">
        <f>'3. Earnings Build'!AR6</f>
        <v>1Q</v>
      </c>
      <c r="N6" s="14" t="str">
        <f>'3. Earnings Build'!AS6</f>
        <v>2Q</v>
      </c>
      <c r="O6" s="14" t="str">
        <f>'3. Earnings Build'!AT6</f>
        <v>3Q</v>
      </c>
      <c r="P6" s="14" t="str">
        <f>'3. Earnings Build'!AU6</f>
        <v>4Q</v>
      </c>
      <c r="Q6" s="15" t="str">
        <f>'3. Earnings Build'!AV6</f>
        <v>FY13*</v>
      </c>
      <c r="R6" s="14" t="str">
        <f>'3. Earnings Build'!AW6</f>
        <v>1Q</v>
      </c>
      <c r="S6" s="14" t="str">
        <f>'3. Earnings Build'!AX6</f>
        <v>2Q</v>
      </c>
      <c r="T6" s="14" t="str">
        <f>'3. Earnings Build'!AY6</f>
        <v>3Q</v>
      </c>
      <c r="U6" s="14" t="str">
        <f>'3. Earnings Build'!AZ6</f>
        <v>4Q</v>
      </c>
      <c r="V6" s="15" t="str">
        <f>'3. Earnings Build'!BA6</f>
        <v>FY14</v>
      </c>
      <c r="W6" s="14" t="str">
        <f>'3. Earnings Build'!BB6</f>
        <v>1Q</v>
      </c>
      <c r="X6" s="14" t="str">
        <f>'3. Earnings Build'!BC6</f>
        <v>2Q</v>
      </c>
      <c r="Y6" s="14" t="str">
        <f>'3. Earnings Build'!BD6</f>
        <v>3Q</v>
      </c>
      <c r="Z6" s="14" t="str">
        <f>'3. Earnings Build'!BE6</f>
        <v>4Q</v>
      </c>
      <c r="AA6" s="15" t="str">
        <f>'3. Earnings Build'!BF6</f>
        <v>FY15</v>
      </c>
      <c r="AB6" s="14" t="str">
        <f>'3. Earnings Build'!BG6</f>
        <v>1Q</v>
      </c>
      <c r="AC6" s="14" t="str">
        <f>'3. Earnings Build'!BH6</f>
        <v>2Q</v>
      </c>
      <c r="AD6" s="14" t="str">
        <f>'3. Earnings Build'!BI6</f>
        <v>3Q</v>
      </c>
      <c r="AE6" s="14" t="str">
        <f>'3. Earnings Build'!BJ6</f>
        <v>4Q</v>
      </c>
      <c r="AF6" s="15" t="str">
        <f>'3. Earnings Build'!BK6</f>
        <v>FY16</v>
      </c>
      <c r="AG6" s="14" t="str">
        <f>'3. Earnings Build'!BL6</f>
        <v>1Q</v>
      </c>
      <c r="AH6" s="14" t="str">
        <f>'3. Earnings Build'!BM6</f>
        <v>2Q</v>
      </c>
      <c r="AI6" s="14" t="str">
        <f>'3. Earnings Build'!BN6</f>
        <v>3Q</v>
      </c>
      <c r="AJ6" s="14" t="str">
        <f>'3. Earnings Build'!BO6</f>
        <v>4Q</v>
      </c>
      <c r="AK6" s="15" t="str">
        <f>'3. Earnings Build'!BP6</f>
        <v>FY17</v>
      </c>
      <c r="AL6" s="14" t="str">
        <f>'3. Earnings Build'!BQ6</f>
        <v>1Q</v>
      </c>
      <c r="AM6" s="14" t="str">
        <f>'3. Earnings Build'!BR6</f>
        <v>2Q</v>
      </c>
      <c r="AN6" s="14" t="str">
        <f>'3. Earnings Build'!BS6</f>
        <v>3Q</v>
      </c>
      <c r="AO6" s="14" t="str">
        <f>'3. Earnings Build'!BT6</f>
        <v>4Q</v>
      </c>
      <c r="AP6" s="15" t="str">
        <f>'3. Earnings Build'!BU6</f>
        <v>FY18*</v>
      </c>
      <c r="AQ6" s="14" t="str">
        <f>'3. Earnings Build'!BV6</f>
        <v>1Q</v>
      </c>
      <c r="AR6" s="14" t="str">
        <f>'3. Earnings Build'!BW6</f>
        <v>2Q</v>
      </c>
      <c r="AS6" s="14" t="str">
        <f>'3. Earnings Build'!BX6</f>
        <v>3Q</v>
      </c>
      <c r="AT6" s="14" t="str">
        <f>'3. Earnings Build'!BY6</f>
        <v>4Q</v>
      </c>
      <c r="AU6" s="15" t="str">
        <f>'3. Earnings Build'!BZ6</f>
        <v>FY19</v>
      </c>
      <c r="AV6" s="14" t="str">
        <f>'3. Earnings Build'!CA6</f>
        <v>1Q</v>
      </c>
      <c r="AW6" s="14" t="str">
        <f>'3. Earnings Build'!CB6</f>
        <v>2Q</v>
      </c>
      <c r="AX6" s="14" t="str">
        <f>'3. Earnings Build'!CC6</f>
        <v>3Q</v>
      </c>
      <c r="AY6" s="14" t="str">
        <f>'3. Earnings Build'!CD6</f>
        <v>4Q</v>
      </c>
      <c r="AZ6" s="15" t="str">
        <f>'3. Earnings Build'!CE6</f>
        <v>FY20</v>
      </c>
      <c r="BA6" s="14" t="str">
        <f>'3. Earnings Build'!CF6</f>
        <v>1Q</v>
      </c>
      <c r="BB6" s="14" t="str">
        <f>'3. Earnings Build'!CG6</f>
        <v>2Q</v>
      </c>
      <c r="BC6" s="14" t="str">
        <f>'3. Earnings Build'!CH6</f>
        <v>3Q</v>
      </c>
      <c r="BD6" s="14" t="str">
        <f>'3. Earnings Build'!CI6</f>
        <v>4Q</v>
      </c>
      <c r="BE6" s="15" t="str">
        <f>'3. Earnings Build'!CJ6</f>
        <v>FY21</v>
      </c>
      <c r="BF6" s="14" t="str">
        <f>'3. Earnings Build'!CK6</f>
        <v>1Q</v>
      </c>
      <c r="BG6" s="14" t="str">
        <f>'3. Earnings Build'!CL6</f>
        <v>2Q</v>
      </c>
      <c r="BH6" s="14" t="str">
        <f>'3. Earnings Build'!CM6</f>
        <v>3Q</v>
      </c>
      <c r="BI6" s="14" t="str">
        <f>'3. Earnings Build'!CN6</f>
        <v>4Q</v>
      </c>
      <c r="BJ6" s="15" t="str">
        <f>'3. Earnings Build'!CO6</f>
        <v>FY22</v>
      </c>
      <c r="BK6" s="14" t="str">
        <f>'3. Earnings Build'!CP6</f>
        <v>1Q</v>
      </c>
      <c r="BL6" s="14" t="str">
        <f>'3. Earnings Build'!CQ6</f>
        <v>2Q</v>
      </c>
      <c r="BM6" s="14" t="str">
        <f>'3. Earnings Build'!CR6</f>
        <v>3Q</v>
      </c>
      <c r="BN6" s="14" t="str">
        <f>'3. Earnings Build'!CS6</f>
        <v>4Q</v>
      </c>
      <c r="BO6" s="15" t="str">
        <f>'3. Earnings Build'!CT6</f>
        <v>FY23</v>
      </c>
      <c r="BP6" s="14" t="str">
        <f>'3. Earnings Build'!CU6</f>
        <v>1Q</v>
      </c>
      <c r="BQ6" s="14" t="str">
        <f>'3. Earnings Build'!CV6</f>
        <v>2Q</v>
      </c>
      <c r="BR6" s="14" t="str">
        <f>'3. Earnings Build'!CW6</f>
        <v>3Q</v>
      </c>
      <c r="BS6" s="14" t="str">
        <f>'3. Earnings Build'!CX6</f>
        <v>4Q</v>
      </c>
      <c r="BT6" s="15" t="str">
        <f>'3. Earnings Build'!CY6</f>
        <v>FY24</v>
      </c>
      <c r="BU6" s="14" t="str">
        <f>'3. Earnings Build'!CZ6</f>
        <v>1Q</v>
      </c>
      <c r="BV6" s="14" t="str">
        <f>'3. Earnings Build'!DA6</f>
        <v>2Q</v>
      </c>
      <c r="BW6" s="14" t="str">
        <f>'3. Earnings Build'!DB6</f>
        <v>3Q</v>
      </c>
      <c r="BX6" s="14" t="str">
        <f>'3. Earnings Build'!DC6</f>
        <v>4Q</v>
      </c>
      <c r="BY6" s="15" t="str">
        <f>'3. Earnings Build'!DD6</f>
        <v>FY25</v>
      </c>
      <c r="BZ6" s="14" t="str">
        <f>'3. Earnings Build'!DE6</f>
        <v>1Q</v>
      </c>
      <c r="CA6" s="14" t="str">
        <f>'3. Earnings Build'!DF6</f>
        <v>2Q</v>
      </c>
      <c r="CB6" s="14" t="str">
        <f>'3. Earnings Build'!DG6</f>
        <v>3QE</v>
      </c>
      <c r="CC6" s="14" t="str">
        <f>'3. Earnings Build'!DH6</f>
        <v>4QE</v>
      </c>
      <c r="CD6" s="15" t="str">
        <f>'3. Earnings Build'!DI6</f>
        <v>FY26E</v>
      </c>
      <c r="CE6" s="14" t="str">
        <f>'3. Earnings Build'!DJ6</f>
        <v>1QE</v>
      </c>
      <c r="CF6" s="14" t="str">
        <f>'3. Earnings Build'!DK6</f>
        <v>2QE</v>
      </c>
      <c r="CG6" s="14" t="str">
        <f>'3. Earnings Build'!DL6</f>
        <v>3QE</v>
      </c>
      <c r="CH6" s="14" t="str">
        <f>'3. Earnings Build'!DM6</f>
        <v>4QE</v>
      </c>
      <c r="CI6" s="15" t="str">
        <f>'3. Earnings Build'!DN6</f>
        <v>FY27E</v>
      </c>
      <c r="CJ6" s="14" t="str">
        <f>'3. Earnings Build'!DO6</f>
        <v>1QE</v>
      </c>
      <c r="CK6" s="14" t="str">
        <f>'3. Earnings Build'!DP6</f>
        <v>2QE</v>
      </c>
      <c r="CL6" s="14" t="str">
        <f>'3. Earnings Build'!DQ6</f>
        <v>3QE</v>
      </c>
      <c r="CM6" s="14" t="str">
        <f>'3. Earnings Build'!DR6</f>
        <v>4QE</v>
      </c>
      <c r="CN6" s="15" t="str">
        <f>'3. Earnings Build'!DS6</f>
        <v>FY28E</v>
      </c>
    </row>
    <row r="7" s="1" customFormat="1" ht="15" hidden="1" customHeight="1" outlineLevel="1" spans="2:92">
      <c r="B7" s="16" t="s">
        <v>485</v>
      </c>
      <c r="C7" s="17">
        <f>'3. Earnings Build'!AH388</f>
        <v>0.16</v>
      </c>
      <c r="D7" s="17">
        <f>'3. Earnings Build'!AI388</f>
        <v>0.2</v>
      </c>
      <c r="E7" s="17">
        <f>'3. Earnings Build'!AJ388</f>
        <v>0.16</v>
      </c>
      <c r="F7" s="17">
        <f>'3. Earnings Build'!AK388</f>
        <v>0.25</v>
      </c>
      <c r="G7" s="18">
        <f>'3. Earnings Build'!AL388</f>
        <v>0.19964148718183</v>
      </c>
      <c r="H7" s="17">
        <f>'3. Earnings Build'!AM388</f>
        <v>0.25</v>
      </c>
      <c r="I7" s="17">
        <f>'3. Earnings Build'!AN388</f>
        <v>0.15</v>
      </c>
      <c r="J7" s="17">
        <f>'3. Earnings Build'!AO388</f>
        <v>0.18</v>
      </c>
      <c r="K7" s="17">
        <f>'3. Earnings Build'!AP388</f>
        <v>0.1</v>
      </c>
      <c r="L7" s="18">
        <f>'3. Earnings Build'!AQ388</f>
        <v>0.158231631926647</v>
      </c>
      <c r="M7" s="17">
        <f>'3. Earnings Build'!AR388</f>
        <v>0.07</v>
      </c>
      <c r="N7" s="17">
        <f>'3. Earnings Build'!AS388</f>
        <v>0.07</v>
      </c>
      <c r="O7" s="17">
        <f>'3. Earnings Build'!AT388</f>
        <v>0.05</v>
      </c>
      <c r="P7" s="17">
        <f>'3. Earnings Build'!AU388</f>
        <v>-0.02</v>
      </c>
      <c r="Q7" s="18">
        <f>'3. Earnings Build'!AV388</f>
        <v>0.034167601526719</v>
      </c>
      <c r="R7" s="17">
        <f>'3. Earnings Build'!AW388</f>
        <v>-0.04</v>
      </c>
      <c r="S7" s="17">
        <f>'3. Earnings Build'!AX388</f>
        <v>-0.05</v>
      </c>
      <c r="T7" s="17">
        <f>'3. Earnings Build'!AY388</f>
        <v>-0.03</v>
      </c>
      <c r="U7" s="17">
        <f>'3. Earnings Build'!AZ388</f>
        <v>0.05</v>
      </c>
      <c r="V7" s="18">
        <f>'3. Earnings Build'!BA19</f>
        <v>-0.0109212944843731</v>
      </c>
      <c r="W7" s="17">
        <f>'3. Earnings Build'!BB19</f>
        <v>-0.005</v>
      </c>
      <c r="X7" s="17">
        <f>'3. Earnings Build'!BC19</f>
        <v>0.06</v>
      </c>
      <c r="Y7" s="17">
        <f>'3. Earnings Build'!BD19</f>
        <v>0.06</v>
      </c>
      <c r="Z7" s="17">
        <f>'3. Earnings Build'!BE19</f>
        <v>0.05</v>
      </c>
      <c r="AA7" s="18">
        <f>'3. Earnings Build'!BF19</f>
        <v>0.0427274638877042</v>
      </c>
      <c r="AB7" s="17">
        <f>'3. Earnings Build'!BG19</f>
        <v>0.05</v>
      </c>
      <c r="AC7" s="17">
        <f>'3. Earnings Build'!BH19</f>
        <v>0.04</v>
      </c>
      <c r="AD7" s="17">
        <f>'3. Earnings Build'!BI19</f>
        <v>0.04</v>
      </c>
      <c r="AE7" s="17">
        <f>'3. Earnings Build'!BJ19</f>
        <v>0.06</v>
      </c>
      <c r="AF7" s="18">
        <f>'3. Earnings Build'!BK19</f>
        <v>0.0487857006719545</v>
      </c>
      <c r="AG7" s="17">
        <f>'3. Earnings Build'!BL19</f>
        <v>-0.01</v>
      </c>
      <c r="AH7" s="17">
        <f>'3. Earnings Build'!BM19</f>
        <v>0.02</v>
      </c>
      <c r="AI7" s="17">
        <f>'3. Earnings Build'!BN19</f>
        <v>0.01</v>
      </c>
      <c r="AJ7" s="17">
        <f>'3. Earnings Build'!BO19</f>
        <v>0.01</v>
      </c>
      <c r="AK7" s="18">
        <f>'3. Earnings Build'!BP19</f>
        <v>0.00802847056103856</v>
      </c>
      <c r="AL7" s="17">
        <f>'3. Earnings Build'!BQ19</f>
        <v>0.06</v>
      </c>
      <c r="AM7" s="17">
        <f>'3. Earnings Build'!BR19</f>
        <v>0.1</v>
      </c>
      <c r="AN7" s="17">
        <f>'3. Earnings Build'!BS19</f>
        <v>0.07</v>
      </c>
      <c r="AO7" s="17">
        <f>'3. Earnings Build'!BT19</f>
        <v>0.07</v>
      </c>
      <c r="AP7" s="18">
        <f>'3. Earnings Build'!BU19</f>
        <v>0.0746963135865628</v>
      </c>
      <c r="AQ7" s="17">
        <f>'3. Earnings Build'!BV19</f>
        <v>0.08</v>
      </c>
      <c r="AR7" s="17">
        <f>'3. Earnings Build'!BW19</f>
        <v>0.11</v>
      </c>
      <c r="AS7" s="17">
        <f>'3. Earnings Build'!BX19</f>
        <v>0.11</v>
      </c>
      <c r="AT7" s="17">
        <f>'3. Earnings Build'!BY19</f>
        <v>0.09</v>
      </c>
      <c r="AU7" s="18">
        <f>'3. Earnings Build'!BZ19</f>
        <v>0.097023419801793</v>
      </c>
      <c r="AV7" s="17">
        <f>'3. Earnings Build'!CA19</f>
        <v>-0.491392673846425</v>
      </c>
      <c r="AW7" s="17">
        <f>'3. Earnings Build'!CB19</f>
        <v>-0.522740310020072</v>
      </c>
      <c r="AX7" s="17">
        <f>'3. Earnings Build'!CC19</f>
        <v>-0.18</v>
      </c>
      <c r="AY7" s="17">
        <f>'3. Earnings Build'!CD19</f>
        <v>-0.29</v>
      </c>
      <c r="AZ7" s="18">
        <f>'3. Earnings Build'!CE19</f>
        <v>-0.359613275991685</v>
      </c>
      <c r="BA7" s="17">
        <f>'3. Earnings Build'!CF19</f>
        <v>0.9625</v>
      </c>
      <c r="BB7" s="17">
        <f>'3. Earnings Build'!CG19</f>
        <v>1.235</v>
      </c>
      <c r="BC7" s="17">
        <f>'3. Earnings Build'!CH19</f>
        <v>0.31</v>
      </c>
      <c r="BD7" s="17">
        <f>'3. Earnings Build'!CI19</f>
        <v>0.32</v>
      </c>
      <c r="BE7" s="18">
        <f>'3. Earnings Build'!CJ19</f>
        <v>0.576028076201752</v>
      </c>
      <c r="BF7" s="17">
        <f>'3. Earnings Build'!CK19</f>
        <v>0.24</v>
      </c>
      <c r="BG7" s="17">
        <f>'3. Earnings Build'!CL19</f>
        <v>0.18</v>
      </c>
      <c r="BH7" s="17">
        <f>'3. Earnings Build'!CM19</f>
        <v>0.17</v>
      </c>
      <c r="BI7" s="17">
        <f>'3. Earnings Build'!CN19</f>
        <v>0.17</v>
      </c>
      <c r="BJ7" s="18">
        <f>'3. Earnings Build'!CO19</f>
        <v>0.185776050798565</v>
      </c>
      <c r="BK7" s="17">
        <f>'3. Earnings Build'!CP19</f>
        <v>0.16</v>
      </c>
      <c r="BL7" s="17">
        <f>'3. Earnings Build'!CQ19</f>
        <v>0.09</v>
      </c>
      <c r="BM7" s="17">
        <f>'3. Earnings Build'!CR19</f>
        <v>0.09</v>
      </c>
      <c r="BN7" s="17">
        <f>'3. Earnings Build'!CS19</f>
        <v>0.06</v>
      </c>
      <c r="BO7" s="18">
        <f>'3. Earnings Build'!CT19</f>
        <v>0.0949068193075515</v>
      </c>
      <c r="BP7" s="17"/>
      <c r="BQ7" s="17"/>
      <c r="BR7" s="17"/>
      <c r="BS7" s="17"/>
      <c r="BT7" s="18"/>
      <c r="BU7" s="17"/>
      <c r="BV7" s="17"/>
      <c r="BW7" s="17"/>
      <c r="BX7" s="17"/>
      <c r="BY7" s="18"/>
      <c r="BZ7" s="17"/>
      <c r="CA7" s="17"/>
      <c r="CB7" s="17"/>
      <c r="CC7" s="17"/>
      <c r="CD7" s="18"/>
      <c r="CE7" s="17"/>
      <c r="CF7" s="17"/>
      <c r="CG7" s="17"/>
      <c r="CH7" s="17"/>
      <c r="CI7" s="18"/>
      <c r="CJ7" s="17"/>
      <c r="CK7" s="17"/>
      <c r="CL7" s="17"/>
      <c r="CM7" s="17"/>
      <c r="CN7" s="18"/>
    </row>
    <row r="8" s="1" customFormat="1" ht="15" hidden="1" customHeight="1" outlineLevel="1" spans="2:92">
      <c r="B8" s="16" t="s">
        <v>486</v>
      </c>
      <c r="C8" s="17" t="s">
        <v>487</v>
      </c>
      <c r="D8" s="17" t="s">
        <v>487</v>
      </c>
      <c r="E8" s="17" t="s">
        <v>487</v>
      </c>
      <c r="F8" s="17" t="s">
        <v>487</v>
      </c>
      <c r="G8" s="18" t="s">
        <v>487</v>
      </c>
      <c r="H8" s="17" t="s">
        <v>487</v>
      </c>
      <c r="I8" s="17" t="s">
        <v>487</v>
      </c>
      <c r="J8" s="17" t="s">
        <v>487</v>
      </c>
      <c r="K8" s="17" t="s">
        <v>487</v>
      </c>
      <c r="L8" s="18" t="s">
        <v>487</v>
      </c>
      <c r="M8" s="17" t="s">
        <v>487</v>
      </c>
      <c r="N8" s="17" t="s">
        <v>487</v>
      </c>
      <c r="O8" s="17" t="s">
        <v>487</v>
      </c>
      <c r="P8" s="17" t="s">
        <v>487</v>
      </c>
      <c r="Q8" s="18" t="s">
        <v>487</v>
      </c>
      <c r="R8" s="17" t="s">
        <v>487</v>
      </c>
      <c r="S8" s="17" t="s">
        <v>487</v>
      </c>
      <c r="T8" s="17" t="s">
        <v>487</v>
      </c>
      <c r="U8" s="17" t="s">
        <v>487</v>
      </c>
      <c r="V8" s="18">
        <f>'3. Earnings Build'!BA20</f>
        <v>0.250463373433777</v>
      </c>
      <c r="W8" s="17">
        <f>'3. Earnings Build'!BB20</f>
        <v>0.320532836167783</v>
      </c>
      <c r="X8" s="17">
        <f>'3. Earnings Build'!BC20</f>
        <v>0.363265644426026</v>
      </c>
      <c r="Y8" s="17">
        <f>'3. Earnings Build'!BD20</f>
        <v>0.217978303270189</v>
      </c>
      <c r="Z8" s="17">
        <f>'3. Earnings Build'!BE20</f>
        <v>0.345162031716847</v>
      </c>
      <c r="AA8" s="18">
        <f>'3. Earnings Build'!BF20</f>
        <v>0.313110320269924</v>
      </c>
      <c r="AB8" s="17">
        <f>'3. Earnings Build'!BG20</f>
        <v>0.178338456544014</v>
      </c>
      <c r="AC8" s="17">
        <f>'3. Earnings Build'!BH20</f>
        <v>0.073478741008745</v>
      </c>
      <c r="AD8" s="17">
        <f>'3. Earnings Build'!BI20</f>
        <v>0.164368073435576</v>
      </c>
      <c r="AE8" s="17">
        <f>'3. Earnings Build'!BJ20</f>
        <v>0.122942864953526</v>
      </c>
      <c r="AF8" s="18">
        <f>'3. Earnings Build'!BK20</f>
        <v>0.133566610630305</v>
      </c>
      <c r="AG8" s="17">
        <f>'3. Earnings Build'!BL20</f>
        <v>-0.00351556894819915</v>
      </c>
      <c r="AH8" s="17">
        <f>'3. Earnings Build'!BM20</f>
        <v>0.303912922160105</v>
      </c>
      <c r="AI8" s="17">
        <f>'3. Earnings Build'!BN20</f>
        <v>0.248711009372115</v>
      </c>
      <c r="AJ8" s="17">
        <f>'3. Earnings Build'!BO20</f>
        <v>0.417170209787656</v>
      </c>
      <c r="AK8" s="18">
        <f>'3. Earnings Build'!BP20</f>
        <v>0.266128708084928</v>
      </c>
      <c r="AL8" s="17">
        <f>'3. Earnings Build'!BQ20</f>
        <v>0.6</v>
      </c>
      <c r="AM8" s="17">
        <f>'3. Earnings Build'!BR20</f>
        <v>0.47</v>
      </c>
      <c r="AN8" s="17">
        <f>'3. Earnings Build'!BS20</f>
        <v>0.46</v>
      </c>
      <c r="AO8" s="17">
        <f>'3. Earnings Build'!BT20</f>
        <v>0.39</v>
      </c>
      <c r="AP8" s="18">
        <f>'3. Earnings Build'!BU20</f>
        <v>0.492827804353585</v>
      </c>
      <c r="AQ8" s="17">
        <f>'3. Earnings Build'!BV20</f>
        <v>0.35</v>
      </c>
      <c r="AR8" s="17">
        <f>'3. Earnings Build'!BW20</f>
        <v>0.31</v>
      </c>
      <c r="AS8" s="17">
        <f>'3. Earnings Build'!BX20</f>
        <v>0.3</v>
      </c>
      <c r="AT8" s="17">
        <f>'3. Earnings Build'!BY20</f>
        <v>0.346652685026768</v>
      </c>
      <c r="AU8" s="18">
        <f>'3. Earnings Build'!BZ20</f>
        <v>0.329837015751185</v>
      </c>
      <c r="AV8" s="17">
        <f>'3. Earnings Build'!CA20</f>
        <v>0.7</v>
      </c>
      <c r="AW8" s="17">
        <f>'3. Earnings Build'!CB20</f>
        <v>1.57</v>
      </c>
      <c r="AX8" s="17">
        <f>'3. Earnings Build'!CC20</f>
        <v>0.93</v>
      </c>
      <c r="AY8" s="17">
        <f>'3. Earnings Build'!CD20</f>
        <v>0.92</v>
      </c>
      <c r="AZ8" s="18">
        <f>'3. Earnings Build'!CE20</f>
        <v>1.00592585561356</v>
      </c>
      <c r="BA8" s="17">
        <f>'3. Earnings Build'!CF20</f>
        <v>0.5</v>
      </c>
      <c r="BB8" s="17">
        <f>'3. Earnings Build'!CG20</f>
        <v>0.04</v>
      </c>
      <c r="BC8" s="17">
        <f>'3. Earnings Build'!CH20</f>
        <v>0.21</v>
      </c>
      <c r="BD8" s="17">
        <f>'3. Earnings Build'!CI20</f>
        <v>0.16</v>
      </c>
      <c r="BE8" s="18">
        <f>'3. Earnings Build'!CJ20</f>
        <v>0.193751363794773</v>
      </c>
      <c r="BF8" s="17">
        <f>'3. Earnings Build'!CK20</f>
        <v>0.33</v>
      </c>
      <c r="BG8" s="17">
        <f>'3. Earnings Build'!CL20</f>
        <v>0.32</v>
      </c>
      <c r="BH8" s="17">
        <f>'3. Earnings Build'!CM20</f>
        <v>0.34</v>
      </c>
      <c r="BI8" s="17">
        <f>'3. Earnings Build'!CN20</f>
        <v>0.39</v>
      </c>
      <c r="BJ8" s="18">
        <f>'3. Earnings Build'!CO20</f>
        <v>0.352615491888965</v>
      </c>
      <c r="BK8" s="17">
        <f>'3. Earnings Build'!CP20</f>
        <v>0.18</v>
      </c>
      <c r="BL8" s="17">
        <f>'3. Earnings Build'!CQ20</f>
        <v>0.17</v>
      </c>
      <c r="BM8" s="17">
        <f>'3. Earnings Build'!CR20</f>
        <v>0.19</v>
      </c>
      <c r="BN8" s="17">
        <f>'3. Earnings Build'!CS20</f>
        <v>0.17</v>
      </c>
      <c r="BO8" s="18">
        <f>'3. Earnings Build'!CT20</f>
        <v>0.176097520103163</v>
      </c>
      <c r="BP8" s="17"/>
      <c r="BQ8" s="17"/>
      <c r="BR8" s="17"/>
      <c r="BS8" s="17"/>
      <c r="BT8" s="18"/>
      <c r="BU8" s="17"/>
      <c r="BV8" s="17"/>
      <c r="BW8" s="17"/>
      <c r="BX8" s="17"/>
      <c r="BY8" s="18"/>
      <c r="BZ8" s="17"/>
      <c r="CA8" s="17"/>
      <c r="CB8" s="17"/>
      <c r="CC8" s="17"/>
      <c r="CD8" s="18"/>
      <c r="CE8" s="17"/>
      <c r="CF8" s="17"/>
      <c r="CG8" s="17"/>
      <c r="CH8" s="17"/>
      <c r="CI8" s="18"/>
      <c r="CJ8" s="17"/>
      <c r="CK8" s="17"/>
      <c r="CL8" s="17"/>
      <c r="CM8" s="17"/>
      <c r="CN8" s="18"/>
    </row>
    <row r="9" s="1" customFormat="1" ht="15" customHeight="1" collapsed="1" spans="2:92">
      <c r="B9" s="19" t="s">
        <v>291</v>
      </c>
      <c r="C9" s="20"/>
      <c r="D9" s="20"/>
      <c r="E9" s="20"/>
      <c r="F9" s="20"/>
      <c r="G9" s="21"/>
      <c r="H9" s="20"/>
      <c r="I9" s="20"/>
      <c r="J9" s="20"/>
      <c r="K9" s="20"/>
      <c r="L9" s="21"/>
      <c r="M9" s="20"/>
      <c r="N9" s="20"/>
      <c r="O9" s="20"/>
      <c r="P9" s="20"/>
      <c r="Q9" s="21"/>
      <c r="R9" s="20"/>
      <c r="S9" s="20"/>
      <c r="T9" s="20"/>
      <c r="U9" s="20"/>
      <c r="V9" s="21"/>
      <c r="W9" s="20"/>
      <c r="X9" s="20"/>
      <c r="Y9" s="20"/>
      <c r="Z9" s="20"/>
      <c r="AA9" s="21"/>
      <c r="AB9" s="20"/>
      <c r="AC9" s="20"/>
      <c r="AD9" s="20"/>
      <c r="AE9" s="20"/>
      <c r="AF9" s="21"/>
      <c r="AG9" s="20"/>
      <c r="AH9" s="20"/>
      <c r="AI9" s="20"/>
      <c r="AJ9" s="20"/>
      <c r="AK9" s="21"/>
      <c r="AL9" s="20"/>
      <c r="AM9" s="20"/>
      <c r="AN9" s="20"/>
      <c r="AO9" s="20"/>
      <c r="AP9" s="21"/>
      <c r="AQ9" s="20"/>
      <c r="AR9" s="20"/>
      <c r="AS9" s="20"/>
      <c r="AT9" s="20"/>
      <c r="AU9" s="21"/>
      <c r="AV9" s="20"/>
      <c r="AW9" s="20"/>
      <c r="AX9" s="20"/>
      <c r="AY9" s="20"/>
      <c r="AZ9" s="21"/>
      <c r="BA9" s="20"/>
      <c r="BB9" s="20"/>
      <c r="BC9" s="20"/>
      <c r="BD9" s="20"/>
      <c r="BE9" s="21"/>
      <c r="BF9" s="20"/>
      <c r="BG9" s="20"/>
      <c r="BH9" s="20"/>
      <c r="BI9" s="20"/>
      <c r="BJ9" s="21"/>
      <c r="BK9" s="20"/>
      <c r="BL9" s="20"/>
      <c r="BM9" s="20"/>
      <c r="BN9" s="20">
        <f>'3. Earnings Build'!CS179</f>
        <v>0.07</v>
      </c>
      <c r="BO9" s="21">
        <f>'3. Earnings Build'!CT179</f>
        <v>0.09</v>
      </c>
      <c r="BP9" s="20">
        <f>'3. Earnings Build'!CU179</f>
        <v>0</v>
      </c>
      <c r="BQ9" s="20">
        <f>'3. Earnings Build'!CV179</f>
        <v>-0.02</v>
      </c>
      <c r="BR9" s="20">
        <f>'3. Earnings Build'!CW179</f>
        <v>-0.02</v>
      </c>
      <c r="BS9" s="20">
        <f>'3. Earnings Build'!CX179</f>
        <v>0</v>
      </c>
      <c r="BT9" s="21">
        <f>'3. Earnings Build'!CY179</f>
        <v>-0.01</v>
      </c>
      <c r="BU9" s="20">
        <f>'3. Earnings Build'!CZ179</f>
        <v>-0.01</v>
      </c>
      <c r="BV9" s="20">
        <f>'3. Earnings Build'!DA179</f>
        <v>-0.03</v>
      </c>
      <c r="BW9" s="20">
        <f>'3. Earnings Build'!DB179</f>
        <v>-0.05</v>
      </c>
      <c r="BX9" s="20">
        <f>'3. Earnings Build'!DC179</f>
        <v>-0.02</v>
      </c>
      <c r="BY9" s="21">
        <f>'3. Earnings Build'!DD179</f>
        <v>-0.03</v>
      </c>
      <c r="BZ9" s="20">
        <f>'3. Earnings Build'!DE179</f>
        <v>-0.06</v>
      </c>
      <c r="CA9" s="20">
        <f>'3. Earnings Build'!DF179</f>
        <v>-0.12</v>
      </c>
      <c r="CB9" s="20">
        <f>'3. Earnings Build'!DG179</f>
        <v>-0.17</v>
      </c>
      <c r="CC9" s="20">
        <f>'3. Earnings Build'!DH179</f>
        <v>-0.155</v>
      </c>
      <c r="CD9" s="21">
        <f>'3. Earnings Build'!DI179</f>
        <v>-0.130198319902373</v>
      </c>
      <c r="CE9" s="20">
        <f>'3. Earnings Build'!DJ179</f>
        <v>-0.095</v>
      </c>
      <c r="CF9" s="20">
        <f>'3. Earnings Build'!DK179</f>
        <v>-0.085</v>
      </c>
      <c r="CG9" s="20">
        <f>'3. Earnings Build'!DL179</f>
        <v>-0.055</v>
      </c>
      <c r="CH9" s="20">
        <f>'3. Earnings Build'!DM179</f>
        <v>-0.055</v>
      </c>
      <c r="CI9" s="21">
        <f>'3. Earnings Build'!DN179</f>
        <v>-0.0712331170254975</v>
      </c>
      <c r="CJ9" s="20">
        <f>'3. Earnings Build'!DO179</f>
        <v>-0.04</v>
      </c>
      <c r="CK9" s="20">
        <f>'3. Earnings Build'!DP179</f>
        <v>-0.04</v>
      </c>
      <c r="CL9" s="20">
        <f>'3. Earnings Build'!DQ179</f>
        <v>-0.04</v>
      </c>
      <c r="CM9" s="20">
        <f>'3. Earnings Build'!DR179</f>
        <v>-0.04</v>
      </c>
      <c r="CN9" s="21">
        <f>'3. Earnings Build'!DS179</f>
        <v>-0.04</v>
      </c>
    </row>
    <row r="10" s="1" customFormat="1" ht="15" customHeight="1" spans="2:92">
      <c r="B10" s="19" t="s">
        <v>292</v>
      </c>
      <c r="C10" s="20"/>
      <c r="D10" s="20"/>
      <c r="E10" s="20"/>
      <c r="F10" s="20"/>
      <c r="G10" s="21"/>
      <c r="H10" s="20"/>
      <c r="I10" s="20"/>
      <c r="J10" s="20"/>
      <c r="K10" s="20"/>
      <c r="L10" s="21"/>
      <c r="M10" s="20"/>
      <c r="N10" s="20"/>
      <c r="O10" s="20"/>
      <c r="P10" s="20"/>
      <c r="Q10" s="21"/>
      <c r="R10" s="20"/>
      <c r="S10" s="20"/>
      <c r="T10" s="20"/>
      <c r="U10" s="20"/>
      <c r="V10" s="21"/>
      <c r="W10" s="20"/>
      <c r="X10" s="20"/>
      <c r="Y10" s="20"/>
      <c r="Z10" s="20"/>
      <c r="AA10" s="21"/>
      <c r="AB10" s="20"/>
      <c r="AC10" s="20"/>
      <c r="AD10" s="20"/>
      <c r="AE10" s="20"/>
      <c r="AF10" s="21"/>
      <c r="AG10" s="20"/>
      <c r="AH10" s="20"/>
      <c r="AI10" s="20"/>
      <c r="AJ10" s="20"/>
      <c r="AK10" s="21"/>
      <c r="AL10" s="20"/>
      <c r="AM10" s="20"/>
      <c r="AN10" s="20"/>
      <c r="AO10" s="20"/>
      <c r="AP10" s="21"/>
      <c r="AQ10" s="20"/>
      <c r="AR10" s="20"/>
      <c r="AS10" s="20"/>
      <c r="AT10" s="20"/>
      <c r="AU10" s="21"/>
      <c r="AV10" s="20"/>
      <c r="AW10" s="20"/>
      <c r="AX10" s="20"/>
      <c r="AY10" s="20"/>
      <c r="AZ10" s="21"/>
      <c r="BA10" s="20"/>
      <c r="BB10" s="20"/>
      <c r="BC10" s="20"/>
      <c r="BD10" s="20"/>
      <c r="BE10" s="21"/>
      <c r="BF10" s="20"/>
      <c r="BG10" s="20"/>
      <c r="BH10" s="20"/>
      <c r="BI10" s="20"/>
      <c r="BJ10" s="21"/>
      <c r="BK10" s="20"/>
      <c r="BL10" s="20"/>
      <c r="BM10" s="20"/>
      <c r="BN10" s="20">
        <f>'3. Earnings Build'!CS242</f>
        <v>0.6</v>
      </c>
      <c r="BO10" s="21">
        <f>'3. Earnings Build'!CT242</f>
        <v>0.46</v>
      </c>
      <c r="BP10" s="20">
        <f>'3. Earnings Build'!CU242</f>
        <v>0.33</v>
      </c>
      <c r="BQ10" s="20">
        <f>'3. Earnings Build'!CV242</f>
        <v>0.23</v>
      </c>
      <c r="BR10" s="20">
        <f>'3. Earnings Build'!CW242</f>
        <v>0.24</v>
      </c>
      <c r="BS10" s="20">
        <f>'3. Earnings Build'!CX242</f>
        <v>0.27</v>
      </c>
      <c r="BT10" s="21">
        <f>'3. Earnings Build'!CY242</f>
        <v>0.27</v>
      </c>
      <c r="BU10" s="20">
        <f>'3. Earnings Build'!CZ242</f>
        <v>0.08</v>
      </c>
      <c r="BV10" s="20">
        <f>'3. Earnings Build'!DA242</f>
        <v>0.16</v>
      </c>
      <c r="BW10" s="20">
        <f>'3. Earnings Build'!DB242</f>
        <v>0.25</v>
      </c>
      <c r="BX10" s="20">
        <f>'3. Earnings Build'!DC242</f>
        <v>0.26</v>
      </c>
      <c r="BY10" s="21">
        <f>'3. Earnings Build'!DD242</f>
        <v>0.19</v>
      </c>
      <c r="BZ10" s="20">
        <f>'3. Earnings Build'!DE242</f>
        <v>0.13</v>
      </c>
      <c r="CA10" s="20">
        <f>'3. Earnings Build'!DF242</f>
        <v>-0.08</v>
      </c>
      <c r="CB10" s="20">
        <f>'3. Earnings Build'!DG242</f>
        <v>-0.07</v>
      </c>
      <c r="CC10" s="20">
        <f>'3. Earnings Build'!DH242</f>
        <v>-0.07</v>
      </c>
      <c r="CD10" s="21">
        <f>'3. Earnings Build'!DI242</f>
        <v>-0.0302853546189621</v>
      </c>
      <c r="CE10" s="20">
        <f>'3. Earnings Build'!DJ242</f>
        <v>-0.03</v>
      </c>
      <c r="CF10" s="20">
        <f>'3. Earnings Build'!DK242</f>
        <v>-0.01</v>
      </c>
      <c r="CG10" s="20">
        <f>'3. Earnings Build'!DL242</f>
        <v>0.02</v>
      </c>
      <c r="CH10" s="20">
        <f>'3. Earnings Build'!DM242</f>
        <v>0.02</v>
      </c>
      <c r="CI10" s="21">
        <f>'3. Earnings Build'!DN242</f>
        <v>0.000999503879878554</v>
      </c>
      <c r="CJ10" s="20">
        <f>'3. Earnings Build'!DO242</f>
        <v>0.04</v>
      </c>
      <c r="CK10" s="20">
        <f>'3. Earnings Build'!DP242</f>
        <v>0.04</v>
      </c>
      <c r="CL10" s="20">
        <f>'3. Earnings Build'!DQ242</f>
        <v>0.04</v>
      </c>
      <c r="CM10" s="20">
        <f>'3. Earnings Build'!DR242</f>
        <v>0.04</v>
      </c>
      <c r="CN10" s="21">
        <f>'3. Earnings Build'!DS242</f>
        <v>0.04</v>
      </c>
    </row>
    <row r="11" s="1" customFormat="1" ht="15" customHeight="1" spans="2:92">
      <c r="B11" s="19" t="s">
        <v>293</v>
      </c>
      <c r="C11" s="20"/>
      <c r="D11" s="20"/>
      <c r="E11" s="20"/>
      <c r="F11" s="20"/>
      <c r="G11" s="21"/>
      <c r="H11" s="20"/>
      <c r="I11" s="20"/>
      <c r="J11" s="20"/>
      <c r="K11" s="20"/>
      <c r="L11" s="21"/>
      <c r="M11" s="20"/>
      <c r="N11" s="20"/>
      <c r="O11" s="20"/>
      <c r="P11" s="20"/>
      <c r="Q11" s="21"/>
      <c r="R11" s="20"/>
      <c r="S11" s="20"/>
      <c r="T11" s="20"/>
      <c r="U11" s="20"/>
      <c r="V11" s="21"/>
      <c r="W11" s="20"/>
      <c r="X11" s="20"/>
      <c r="Y11" s="20"/>
      <c r="Z11" s="20"/>
      <c r="AA11" s="21"/>
      <c r="AB11" s="20"/>
      <c r="AC11" s="20"/>
      <c r="AD11" s="20"/>
      <c r="AE11" s="20"/>
      <c r="AF11" s="21"/>
      <c r="AG11" s="20"/>
      <c r="AH11" s="20"/>
      <c r="AI11" s="20"/>
      <c r="AJ11" s="20"/>
      <c r="AK11" s="21"/>
      <c r="AL11" s="20"/>
      <c r="AM11" s="20"/>
      <c r="AN11" s="20"/>
      <c r="AO11" s="20"/>
      <c r="AP11" s="21"/>
      <c r="AQ11" s="20"/>
      <c r="AR11" s="20"/>
      <c r="AS11" s="20"/>
      <c r="AT11" s="20"/>
      <c r="AU11" s="21"/>
      <c r="AV11" s="20"/>
      <c r="AW11" s="20"/>
      <c r="AX11" s="20"/>
      <c r="AY11" s="20"/>
      <c r="AZ11" s="21"/>
      <c r="BA11" s="20"/>
      <c r="BB11" s="20"/>
      <c r="BC11" s="20"/>
      <c r="BD11" s="20"/>
      <c r="BE11" s="21"/>
      <c r="BF11" s="20"/>
      <c r="BG11" s="20"/>
      <c r="BH11" s="20"/>
      <c r="BI11" s="20"/>
      <c r="BJ11" s="21"/>
      <c r="BK11" s="20"/>
      <c r="BL11" s="20"/>
      <c r="BM11" s="20"/>
      <c r="BN11" s="20">
        <f>'3. Earnings Build'!CS300</f>
        <v>0.31</v>
      </c>
      <c r="BO11" s="21">
        <f>'3. Earnings Build'!CT300</f>
        <v>0.33</v>
      </c>
      <c r="BP11" s="20">
        <f>'3. Earnings Build'!CU300</f>
        <v>0.4</v>
      </c>
      <c r="BQ11" s="20">
        <f>'3. Earnings Build'!CV300</f>
        <v>0.2</v>
      </c>
      <c r="BR11" s="20">
        <f>'3. Earnings Build'!CW300</f>
        <v>0.2</v>
      </c>
      <c r="BS11" s="20">
        <f>'3. Earnings Build'!CX300</f>
        <v>0.17</v>
      </c>
      <c r="BT11" s="21">
        <f>'3. Earnings Build'!CY300</f>
        <v>0.2</v>
      </c>
      <c r="BU11" s="20">
        <f>'3. Earnings Build'!CZ300</f>
        <v>0.07</v>
      </c>
      <c r="BV11" s="20">
        <f>'3. Earnings Build'!DA300</f>
        <v>0.09</v>
      </c>
      <c r="BW11" s="20">
        <f>'3. Earnings Build'!DB300</f>
        <v>0.18</v>
      </c>
      <c r="BX11" s="20">
        <f>'3. Earnings Build'!DC300</f>
        <v>0.05</v>
      </c>
      <c r="BY11" s="21">
        <f>'3. Earnings Build'!DD300</f>
        <v>0.07</v>
      </c>
      <c r="BZ11" s="20">
        <f>'3. Earnings Build'!DE300</f>
        <v>0.01</v>
      </c>
      <c r="CA11" s="20">
        <f>'3. Earnings Build'!DF300</f>
        <v>-0.03</v>
      </c>
      <c r="CB11" s="20">
        <f>'3. Earnings Build'!DG300</f>
        <v>-0.01</v>
      </c>
      <c r="CC11" s="20">
        <f>'3. Earnings Build'!DH300</f>
        <v>-0.02</v>
      </c>
      <c r="CD11" s="21">
        <f>'3. Earnings Build'!DI300</f>
        <v>-0.013489452323061</v>
      </c>
      <c r="CE11" s="20">
        <f>'3. Earnings Build'!DJ300</f>
        <v>0</v>
      </c>
      <c r="CF11" s="20">
        <f>'3. Earnings Build'!DK300</f>
        <v>0.02</v>
      </c>
      <c r="CG11" s="20">
        <f>'3. Earnings Build'!DL300</f>
        <v>0.04</v>
      </c>
      <c r="CH11" s="20">
        <f>'3. Earnings Build'!DM300</f>
        <v>0.04</v>
      </c>
      <c r="CI11" s="21">
        <f>'3. Earnings Build'!DN300</f>
        <v>0.0256432921631323</v>
      </c>
      <c r="CJ11" s="20">
        <f>'3. Earnings Build'!DO300</f>
        <v>0.06</v>
      </c>
      <c r="CK11" s="20">
        <f>'3. Earnings Build'!DP300</f>
        <v>0.06</v>
      </c>
      <c r="CL11" s="20">
        <f>'3. Earnings Build'!DQ300</f>
        <v>0.06</v>
      </c>
      <c r="CM11" s="20">
        <f>'3. Earnings Build'!DR300</f>
        <v>0.06</v>
      </c>
      <c r="CN11" s="21">
        <f>'3. Earnings Build'!DS300</f>
        <v>0.06</v>
      </c>
    </row>
    <row r="12" s="1" customFormat="1" ht="15" customHeight="1" spans="2:92">
      <c r="B12" s="19" t="s">
        <v>488</v>
      </c>
      <c r="C12" s="20">
        <f>'3. Earnings Build'!AH24</f>
        <v>0.185924852154503</v>
      </c>
      <c r="D12" s="20">
        <f>'3. Earnings Build'!AI24</f>
        <v>0.250935251798561</v>
      </c>
      <c r="E12" s="20">
        <f>'3. Earnings Build'!AJ24</f>
        <v>0.213358876117497</v>
      </c>
      <c r="F12" s="20">
        <f>'3. Earnings Build'!AK24</f>
        <v>0.33509234828496</v>
      </c>
      <c r="G12" s="21">
        <f>'3. Earnings Build'!AL24</f>
        <v>0.258877597399389</v>
      </c>
      <c r="H12" s="20">
        <f>'3. Earnings Build'!AM24</f>
        <v>0.374293307982094</v>
      </c>
      <c r="I12" s="20">
        <f>'3. Earnings Build'!AN24</f>
        <v>0.221292481061664</v>
      </c>
      <c r="J12" s="20">
        <f>'3. Earnings Build'!AO24</f>
        <v>0.259096467772397</v>
      </c>
      <c r="K12" s="20">
        <f>'3. Earnings Build'!AP24</f>
        <v>0.167694138557495</v>
      </c>
      <c r="L12" s="21">
        <f>'3. Earnings Build'!AQ24</f>
        <v>0.238382685293153</v>
      </c>
      <c r="M12" s="20">
        <f>'3. Earnings Build'!AR24</f>
        <v>0.118005171458935</v>
      </c>
      <c r="N12" s="20">
        <f>'3. Earnings Build'!AS24</f>
        <v>0.113048032511547</v>
      </c>
      <c r="O12" s="20">
        <f>'3. Earnings Build'!AT24</f>
        <v>0.0990493592849836</v>
      </c>
      <c r="P12" s="20">
        <f>'3. Earnings Build'!AU24</f>
        <v>0.0261155474522935</v>
      </c>
      <c r="Q12" s="21">
        <f>'3. Earnings Build'!AV24</f>
        <v>0.0800334842233462</v>
      </c>
      <c r="R12" s="20">
        <f>'3. Earnings Build'!AW24</f>
        <v>0.0101234457995408</v>
      </c>
      <c r="S12" s="20">
        <f>'3. Earnings Build'!AX24</f>
        <v>0.00330808455901292</v>
      </c>
      <c r="T12" s="20">
        <f>'3. Earnings Build'!AY24</f>
        <v>0.0229839244188402</v>
      </c>
      <c r="U12" s="20">
        <f>'3. Earnings Build'!AZ24</f>
        <v>0.0811861535893555</v>
      </c>
      <c r="V12" s="21">
        <f>'3. Earnings Build'!BA24</f>
        <v>0.0351658928082226</v>
      </c>
      <c r="W12" s="20">
        <f>'3. Earnings Build'!BB24</f>
        <v>0.0556558026783403</v>
      </c>
      <c r="X12" s="20">
        <f>'3. Earnings Build'!BC24</f>
        <v>0.113860738437805</v>
      </c>
      <c r="Y12" s="20">
        <f>'3. Earnings Build'!BD24</f>
        <v>0.091497581323569</v>
      </c>
      <c r="Z12" s="20">
        <f>'3. Earnings Build'!BE24</f>
        <v>0.109232088317961</v>
      </c>
      <c r="AA12" s="21">
        <f>'3. Earnings Build'!BF25</f>
        <v>0.1</v>
      </c>
      <c r="AB12" s="20">
        <f>'3. Earnings Build'!BG25</f>
        <v>0.08</v>
      </c>
      <c r="AC12" s="20">
        <f>'3. Earnings Build'!BH25</f>
        <v>0.05</v>
      </c>
      <c r="AD12" s="20">
        <f>'3. Earnings Build'!BI25</f>
        <v>0.07</v>
      </c>
      <c r="AE12" s="20">
        <f>'3. Earnings Build'!BJ25</f>
        <v>0.07</v>
      </c>
      <c r="AF12" s="21">
        <f>'3. Earnings Build'!BK25</f>
        <v>0.07</v>
      </c>
      <c r="AG12" s="20">
        <f>'3. Earnings Build'!BL25</f>
        <v>-0.01</v>
      </c>
      <c r="AH12" s="20">
        <f>'3. Earnings Build'!BM25</f>
        <v>0.07</v>
      </c>
      <c r="AI12" s="20">
        <f>'3. Earnings Build'!BN25</f>
        <v>0.07</v>
      </c>
      <c r="AJ12" s="20">
        <f>'3. Earnings Build'!BO25</f>
        <v>0.11</v>
      </c>
      <c r="AK12" s="21">
        <f>'3. Earnings Build'!BP25</f>
        <v>0.07</v>
      </c>
      <c r="AL12" s="20">
        <f>'3. Earnings Build'!BQ25</f>
        <v>0.19</v>
      </c>
      <c r="AM12" s="20">
        <f>'3. Earnings Build'!BR25</f>
        <v>0.19</v>
      </c>
      <c r="AN12" s="20">
        <f>'3. Earnings Build'!BS25</f>
        <v>0.18</v>
      </c>
      <c r="AO12" s="20">
        <f>'3. Earnings Build'!BT24</f>
        <v>0.158375748502994</v>
      </c>
      <c r="AP12" s="21">
        <f>'3. Earnings Build'!BU24</f>
        <v>0.166122359643441</v>
      </c>
      <c r="AQ12" s="20">
        <f>'3. Earnings Build'!BV24</f>
        <v>0.152107828205909</v>
      </c>
      <c r="AR12" s="20">
        <f>'3. Earnings Build'!BW24</f>
        <v>0.161208320587336</v>
      </c>
      <c r="AS12" s="20">
        <f>'3. Earnings Build'!BX24</f>
        <v>0.164005466400101</v>
      </c>
      <c r="AT12" s="20">
        <f>'3. Earnings Build'!BY24</f>
        <v>0.172250315808484</v>
      </c>
      <c r="AU12" s="21">
        <f>'3. Earnings Build'!BZ24</f>
        <v>0.164004553769757</v>
      </c>
      <c r="AV12" s="20">
        <f>'3. Earnings Build'!CA24</f>
        <v>-0.142351110725142</v>
      </c>
      <c r="AW12" s="20">
        <f>'3. Earnings Build'!CB24</f>
        <v>0.045590332301699</v>
      </c>
      <c r="AX12" s="20">
        <f>'3. Earnings Build'!CC24</f>
        <v>0.151441539578794</v>
      </c>
      <c r="AY12" s="20">
        <f>'3. Earnings Build'!CD24</f>
        <v>0.143170656370656</v>
      </c>
      <c r="AZ12" s="21">
        <f>'3. Earnings Build'!CE24</f>
        <v>0.0673567000716348</v>
      </c>
      <c r="BA12" s="20">
        <f>'3. Earnings Build'!CF24</f>
        <v>0.696461367398192</v>
      </c>
      <c r="BB12" s="20">
        <f>'3. Earnings Build'!CG24</f>
        <v>0.44784789067142</v>
      </c>
      <c r="BC12" s="20">
        <f>'3. Earnings Build'!CH24</f>
        <v>0.261691533192797</v>
      </c>
      <c r="BD12" s="20">
        <f>'3. Earnings Build'!CI24</f>
        <v>0.224015174606012</v>
      </c>
      <c r="BE12" s="21">
        <f>'3. Earnings Build'!CJ24</f>
        <v>0.354579005167549</v>
      </c>
      <c r="BF12" s="20">
        <f>'3. Earnings Build'!CK24</f>
        <v>0.285354280917532</v>
      </c>
      <c r="BG12" s="20">
        <f>'3. Earnings Build'!CL24</f>
        <v>0.244709217312189</v>
      </c>
      <c r="BH12" s="20">
        <f>'3. Earnings Build'!CM24</f>
        <v>0.247073823998887</v>
      </c>
      <c r="BI12" s="20">
        <f>'3. Earnings Build'!CN24</f>
        <v>0.289468472078553</v>
      </c>
      <c r="BJ12" s="21">
        <f>'3. Earnings Build'!CO24</f>
        <v>0.268546924594794</v>
      </c>
      <c r="BK12" s="20">
        <f>'3. Earnings Build'!CP24</f>
        <v>0.169928754171952</v>
      </c>
      <c r="BL12" s="20">
        <f>'3. Earnings Build'!CQ24</f>
        <v>0.126957954175807</v>
      </c>
      <c r="BM12" s="20">
        <f>'3. Earnings Build'!CR24</f>
        <v>0.135937856012682</v>
      </c>
      <c r="BN12" s="20">
        <f>'3. Earnings Build'!CS24</f>
        <v>0.122028530941642</v>
      </c>
      <c r="BO12" s="21">
        <f>'3. Earnings Build'!CT24</f>
        <v>0.135787599970495</v>
      </c>
      <c r="BP12" s="20">
        <f>'3. Earnings Build'!CU24</f>
        <v>0.0792270460897485</v>
      </c>
      <c r="BQ12" s="20">
        <f>'3. Earnings Build'!CV24</f>
        <v>0.0319198837569851</v>
      </c>
      <c r="BR12" s="20">
        <f>'3. Earnings Build'!CW24</f>
        <v>0.0312400316121182</v>
      </c>
      <c r="BS12" s="20">
        <f>'3. Earnings Build'!CX24</f>
        <v>0.0405407408123857</v>
      </c>
      <c r="BT12" s="21">
        <f>'3. Earnings Build'!CY24</f>
        <v>0.0444763338786965</v>
      </c>
      <c r="BU12" s="20">
        <f>'3. Earnings Build'!CZ24</f>
        <v>0.0126213154021633</v>
      </c>
      <c r="BV12" s="20">
        <f>'3. Earnings Build'!DA24</f>
        <v>0.0111418898914333</v>
      </c>
      <c r="BW12" s="20">
        <f>'3. Earnings Build'!DB24</f>
        <v>0.0193997479826091</v>
      </c>
      <c r="BX12" s="20">
        <f>'3. Earnings Build'!DC24</f>
        <v>0.0205578185444983</v>
      </c>
      <c r="BY12" s="21">
        <f>'3. Earnings Build'!DD24</f>
        <v>0.0165313956407394</v>
      </c>
      <c r="BZ12" s="20">
        <f>'3. Earnings Build'!DE24</f>
        <v>-0.02081291285971</v>
      </c>
      <c r="CA12" s="20">
        <f>'3. Earnings Build'!DF24</f>
        <v>-0.100443169483518</v>
      </c>
      <c r="CB12" s="20">
        <f>'3. Earnings Build'!DG24</f>
        <v>-0.128968182951924</v>
      </c>
      <c r="CC12" s="20">
        <f>'3. Earnings Build'!DH24</f>
        <v>-0.126663793214735</v>
      </c>
      <c r="CD12" s="21">
        <f>'3. Earnings Build'!DI24</f>
        <v>-0.0986310454308</v>
      </c>
      <c r="CE12" s="20">
        <f>'3. Earnings Build'!DJ24</f>
        <v>-0.0681204869875947</v>
      </c>
      <c r="CF12" s="20">
        <f>'3. Earnings Build'!DK24</f>
        <v>-0.05533183255224</v>
      </c>
      <c r="CG12" s="20">
        <f>'3. Earnings Build'!DL24</f>
        <v>-0.0239426567167493</v>
      </c>
      <c r="CH12" s="20">
        <f>'3. Earnings Build'!DM24</f>
        <v>-0.0298607798310079</v>
      </c>
      <c r="CI12" s="21">
        <f>'3. Earnings Build'!DN24</f>
        <v>-0.0434647659204387</v>
      </c>
      <c r="CJ12" s="20">
        <f>'3. Earnings Build'!DO24</f>
        <v>-0.00689211976976648</v>
      </c>
      <c r="CK12" s="20">
        <f>'3. Earnings Build'!DP24</f>
        <v>-0.00777037643901516</v>
      </c>
      <c r="CL12" s="20">
        <f>'3. Earnings Build'!DQ24</f>
        <v>-0.00462141731253386</v>
      </c>
      <c r="CM12" s="20">
        <f>'3. Earnings Build'!DR24</f>
        <v>-0.0111053078811975</v>
      </c>
      <c r="CN12" s="21">
        <f>'3. Earnings Build'!DS24</f>
        <v>-0.00790832914573734</v>
      </c>
    </row>
    <row r="13" ht="15" customHeight="1" spans="2:92">
      <c r="B13" s="13" t="s">
        <v>489</v>
      </c>
      <c r="C13" s="22"/>
      <c r="D13" s="22"/>
      <c r="E13" s="22"/>
      <c r="F13" s="22"/>
      <c r="G13" s="23"/>
      <c r="H13" s="22"/>
      <c r="I13" s="22"/>
      <c r="J13" s="22"/>
      <c r="K13" s="22"/>
      <c r="L13" s="23"/>
      <c r="M13" s="22"/>
      <c r="N13" s="22"/>
      <c r="O13" s="22"/>
      <c r="P13" s="22"/>
      <c r="Q13" s="23"/>
      <c r="R13" s="22"/>
      <c r="S13" s="22"/>
      <c r="T13" s="22"/>
      <c r="U13" s="22"/>
      <c r="V13" s="23"/>
      <c r="W13" s="22"/>
      <c r="X13" s="22"/>
      <c r="Y13" s="22"/>
      <c r="Z13" s="22"/>
      <c r="AA13" s="23"/>
      <c r="AB13" s="22"/>
      <c r="AC13" s="22"/>
      <c r="AD13" s="22"/>
      <c r="AE13" s="22"/>
      <c r="AF13" s="23"/>
      <c r="AG13" s="22"/>
      <c r="AH13" s="22"/>
      <c r="AI13" s="22"/>
      <c r="AJ13" s="22"/>
      <c r="AK13" s="23"/>
      <c r="AL13" s="22"/>
      <c r="AM13" s="22"/>
      <c r="AN13" s="22"/>
      <c r="AO13" s="22"/>
      <c r="AP13" s="23"/>
      <c r="AQ13" s="22"/>
      <c r="AR13" s="22"/>
      <c r="AS13" s="22"/>
      <c r="AT13" s="22"/>
      <c r="AU13" s="23"/>
      <c r="AV13" s="22"/>
      <c r="AW13" s="22"/>
      <c r="AX13" s="22"/>
      <c r="AY13" s="22"/>
      <c r="AZ13" s="23"/>
      <c r="BA13" s="22"/>
      <c r="BB13" s="22"/>
      <c r="BC13" s="22"/>
      <c r="BD13" s="22"/>
      <c r="BE13" s="23"/>
      <c r="BF13" s="22"/>
      <c r="BG13" s="22"/>
      <c r="BH13" s="22"/>
      <c r="BI13" s="22"/>
      <c r="BJ13" s="23"/>
      <c r="BK13" s="22"/>
      <c r="BL13" s="22"/>
      <c r="BM13" s="22"/>
      <c r="BN13" s="22"/>
      <c r="BO13" s="23"/>
      <c r="BP13" s="22"/>
      <c r="BQ13" s="22"/>
      <c r="BR13" s="22"/>
      <c r="BS13" s="22"/>
      <c r="BT13" s="23"/>
      <c r="BU13" s="22"/>
      <c r="BV13" s="22"/>
      <c r="BW13" s="22"/>
      <c r="BX13" s="22"/>
      <c r="BY13" s="23"/>
      <c r="BZ13" s="22"/>
      <c r="CA13" s="22"/>
      <c r="CB13" s="22"/>
      <c r="CC13" s="22"/>
      <c r="CD13" s="23"/>
      <c r="CE13" s="22"/>
      <c r="CF13" s="22"/>
      <c r="CG13" s="22"/>
      <c r="CH13" s="22"/>
      <c r="CI13" s="24"/>
      <c r="CJ13" s="24"/>
      <c r="CK13" s="22"/>
      <c r="CL13" s="22"/>
      <c r="CM13" s="22"/>
      <c r="CN13" s="23"/>
    </row>
    <row r="14" ht="15" hidden="1" customHeight="1" outlineLevel="1" spans="2:92">
      <c r="B14" s="25" t="s">
        <v>53</v>
      </c>
      <c r="C14" s="26">
        <f>'3. Earnings Build'!AH383</f>
        <v>156.5</v>
      </c>
      <c r="D14" s="26">
        <f>'3. Earnings Build'!AI383</f>
        <v>178.223</v>
      </c>
      <c r="E14" s="26">
        <f>'3. Earnings Build'!AJ383</f>
        <v>190.016</v>
      </c>
      <c r="F14" s="26">
        <f>'3. Earnings Build'!AK383</f>
        <v>292.47028</v>
      </c>
      <c r="G14" s="27">
        <f>'3. Earnings Build'!AL383</f>
        <v>817.20928</v>
      </c>
      <c r="H14" s="26">
        <f>'3. Earnings Build'!AM383</f>
        <v>228.789</v>
      </c>
      <c r="I14" s="26">
        <f>'3. Earnings Build'!AN383</f>
        <v>231.314</v>
      </c>
      <c r="J14" s="26">
        <f>'3. Earnings Build'!AO383</f>
        <v>252.046</v>
      </c>
      <c r="K14" s="26">
        <f>'3. Earnings Build'!AP383</f>
        <v>378.032</v>
      </c>
      <c r="L14" s="27">
        <f>'3. Earnings Build'!AQ383</f>
        <v>1090.181</v>
      </c>
      <c r="M14" s="26">
        <f>'3. Earnings Build'!AR383</f>
        <v>269.357</v>
      </c>
      <c r="N14" s="26">
        <f>'3. Earnings Build'!AS383</f>
        <v>273.768</v>
      </c>
      <c r="O14" s="26">
        <f>'3. Earnings Build'!AT383</f>
        <v>290.666</v>
      </c>
      <c r="P14" s="26">
        <f>'3. Earnings Build'!AU383</f>
        <v>395.208</v>
      </c>
      <c r="Q14" s="27">
        <f>'3. Earnings Build'!AV383</f>
        <v>1228.999</v>
      </c>
      <c r="R14" s="26">
        <f>'3. Earnings Build'!AW383</f>
        <v>288.101</v>
      </c>
      <c r="S14" s="26">
        <f>'3. Earnings Build'!AX383</f>
        <v>294.04</v>
      </c>
      <c r="T14" s="26">
        <f>'3. Earnings Build'!AY383</f>
        <v>310.014</v>
      </c>
      <c r="U14" s="26">
        <f>'3. Earnings Build'!AZ383</f>
        <v>456.07</v>
      </c>
      <c r="V14" s="27">
        <f>'3. Earnings Build'!BA383</f>
        <v>1348.225</v>
      </c>
      <c r="W14" s="26">
        <f>'3. Earnings Build'!BB383</f>
        <v>314.094</v>
      </c>
      <c r="X14" s="26">
        <f>'3. Earnings Build'!BC383</f>
        <v>339.779</v>
      </c>
      <c r="Y14" s="26">
        <f>'3. Earnings Build'!BD383</f>
        <v>353.399</v>
      </c>
      <c r="Z14" s="26">
        <f>'3. Earnings Build'!BE383</f>
        <v>509.051</v>
      </c>
      <c r="AA14" s="27">
        <f>'3. Earnings Build'!BF383</f>
        <v>1516.323</v>
      </c>
      <c r="AB14" s="26">
        <f>'3. Earnings Build'!BG383</f>
        <v>358.704</v>
      </c>
      <c r="AC14" s="26">
        <f>'3. Earnings Build'!BH383</f>
        <v>381.389</v>
      </c>
      <c r="AD14" s="26">
        <f>'3. Earnings Build'!BI383</f>
        <v>393.506</v>
      </c>
      <c r="AE14" s="26">
        <f>'3. Earnings Build'!BJ383</f>
        <v>570.758</v>
      </c>
      <c r="AF14" s="27">
        <f>'3. Earnings Build'!BK383</f>
        <v>1704.357</v>
      </c>
      <c r="AG14" s="26">
        <f>'3. Earnings Build'!BL383</f>
        <v>379.099</v>
      </c>
      <c r="AH14" s="26">
        <f>'3. Earnings Build'!BM383</f>
        <v>413.944</v>
      </c>
      <c r="AI14" s="26">
        <f>'3. Earnings Build'!BN383</f>
        <v>425.1</v>
      </c>
      <c r="AJ14" s="26">
        <f>'3. Earnings Build'!BO383</f>
        <v>618.9</v>
      </c>
      <c r="AK14" s="27">
        <f>'3. Earnings Build'!BP383</f>
        <v>1837.043</v>
      </c>
      <c r="AL14" s="26">
        <f>'3. Earnings Build'!BQ383</f>
        <v>433.12</v>
      </c>
      <c r="AM14" s="26">
        <f>'3. Earnings Build'!BR383</f>
        <v>486.4</v>
      </c>
      <c r="AN14" s="26">
        <f>'3. Earnings Build'!BS383</f>
        <v>476.877</v>
      </c>
      <c r="AO14" s="26">
        <f>'3. Earnings Build'!BT383</f>
        <v>729.966</v>
      </c>
      <c r="AP14" s="27">
        <f>'3. Earnings Build'!BU383</f>
        <v>2126.363</v>
      </c>
      <c r="AQ14" s="26">
        <f>'3. Earnings Build'!BV383</f>
        <v>506.422</v>
      </c>
      <c r="AR14" s="26">
        <f>'3. Earnings Build'!BW383</f>
        <v>583.756</v>
      </c>
      <c r="AS14" s="26">
        <f>'3. Earnings Build'!BX383</f>
        <v>579.5</v>
      </c>
      <c r="AT14" s="26">
        <f>'3. Earnings Build'!BY383</f>
        <v>831.4</v>
      </c>
      <c r="AU14" s="27">
        <f>'3. Earnings Build'!BZ383</f>
        <v>2501.078</v>
      </c>
      <c r="AV14" s="26">
        <f>'3. Earnings Build'!CA383</f>
        <v>259.97</v>
      </c>
      <c r="AW14" s="26">
        <f>'3. Earnings Build'!CB383</f>
        <v>287.2</v>
      </c>
      <c r="AX14" s="26">
        <f>'3. Earnings Build'!CC383</f>
        <v>511.756</v>
      </c>
      <c r="AY14" s="26">
        <f>'3. Earnings Build'!CD383</f>
        <v>599.881</v>
      </c>
      <c r="AZ14" s="27">
        <f>'3. Earnings Build'!CE383</f>
        <v>1658.807</v>
      </c>
      <c r="BA14" s="26">
        <f>'3. Earnings Build'!CF383</f>
        <v>536.584</v>
      </c>
      <c r="BB14" s="26">
        <f>'3. Earnings Build'!CG383</f>
        <v>695.12</v>
      </c>
      <c r="BC14" s="26">
        <f>'3. Earnings Build'!CH383</f>
        <v>707.16</v>
      </c>
      <c r="BD14" s="26">
        <f>'3. Earnings Build'!CI383</f>
        <v>882.633</v>
      </c>
      <c r="BE14" s="27">
        <f>'3. Earnings Build'!CJ383</f>
        <v>2821.497</v>
      </c>
      <c r="BF14" s="26">
        <f>'3. Earnings Build'!CK383</f>
        <v>731.604</v>
      </c>
      <c r="BG14" s="26">
        <f>'3. Earnings Build'!CL383</f>
        <v>903.077</v>
      </c>
      <c r="BH14" s="26">
        <f>'3. Earnings Build'!CM383</f>
        <v>903.06</v>
      </c>
      <c r="BI14" s="26">
        <f>'3. Earnings Build'!CN383</f>
        <v>1110.386</v>
      </c>
      <c r="BJ14" s="27">
        <f>'3. Earnings Build'!CO383</f>
        <v>3648.127</v>
      </c>
      <c r="BK14" s="26">
        <f>'3. Earnings Build'!CP383</f>
        <v>958.087</v>
      </c>
      <c r="BL14" s="26">
        <f>'3. Earnings Build'!CQ383</f>
        <v>1096.939</v>
      </c>
      <c r="BM14" s="26">
        <f>'3. Earnings Build'!CR383</f>
        <v>1073.973</v>
      </c>
      <c r="BN14" s="26">
        <f>'3. Earnings Build'!CS383</f>
        <v>1281.957</v>
      </c>
      <c r="BO14" s="27">
        <f>'3. Earnings Build'!CT383</f>
        <v>4410.956</v>
      </c>
      <c r="BP14" s="26"/>
      <c r="BQ14" s="26"/>
      <c r="BR14" s="26"/>
      <c r="BS14" s="26"/>
      <c r="BT14" s="27"/>
      <c r="BU14" s="26"/>
      <c r="BV14" s="26"/>
      <c r="BW14" s="26"/>
      <c r="BX14" s="26"/>
      <c r="BY14" s="27"/>
      <c r="BZ14" s="26"/>
      <c r="CA14" s="26"/>
      <c r="CB14" s="26"/>
      <c r="CC14" s="26"/>
      <c r="CD14" s="27"/>
      <c r="CE14" s="26"/>
      <c r="CF14" s="26"/>
      <c r="CG14" s="26"/>
      <c r="CH14" s="26"/>
      <c r="CI14" s="27"/>
      <c r="CJ14" s="26"/>
      <c r="CK14" s="26"/>
      <c r="CL14" s="26"/>
      <c r="CM14" s="26"/>
      <c r="CN14" s="27"/>
    </row>
    <row r="15" ht="15" hidden="1" customHeight="1" outlineLevel="1" spans="2:92">
      <c r="B15" s="28" t="s">
        <v>307</v>
      </c>
      <c r="C15" s="29">
        <f>'3. Earnings Build'!AH384</f>
        <v>0.353841362665121</v>
      </c>
      <c r="D15" s="29">
        <f>'3. Earnings Build'!AI384</f>
        <v>0.377302936630603</v>
      </c>
      <c r="E15" s="29">
        <f>'3. Earnings Build'!AJ384</f>
        <v>0.326927374301676</v>
      </c>
      <c r="F15" s="29">
        <f>'3. Earnings Build'!AK384</f>
        <v>0.442161143984221</v>
      </c>
      <c r="G15" s="30">
        <f>'3. Earnings Build'!AL384</f>
        <v>0.382763838056708</v>
      </c>
      <c r="H15" s="29">
        <f>'3. Earnings Build'!AM384</f>
        <v>0.46191054313099</v>
      </c>
      <c r="I15" s="29">
        <f>'3. Earnings Build'!AN384</f>
        <v>0.297890844616015</v>
      </c>
      <c r="J15" s="29">
        <f>'3. Earnings Build'!AO384</f>
        <v>0.326446194004715</v>
      </c>
      <c r="K15" s="29">
        <f>'3. Earnings Build'!AP384</f>
        <v>0.292548425775091</v>
      </c>
      <c r="L15" s="30">
        <f>'3. Earnings Build'!AQ384</f>
        <v>0.334029148567672</v>
      </c>
      <c r="M15" s="29">
        <f>'3. Earnings Build'!AR384</f>
        <v>0.177316217125824</v>
      </c>
      <c r="N15" s="29">
        <f>'3. Earnings Build'!AS384</f>
        <v>0.183534070570739</v>
      </c>
      <c r="O15" s="29">
        <f>'3. Earnings Build'!AT384</f>
        <v>0.153225998428858</v>
      </c>
      <c r="P15" s="29">
        <f>'3. Earnings Build'!AU384</f>
        <v>0.0454353070639522</v>
      </c>
      <c r="Q15" s="30">
        <f>'3. Earnings Build'!AV384</f>
        <v>0.12733481871359</v>
      </c>
      <c r="R15" s="29">
        <f>'3. Earnings Build'!AW384</f>
        <v>0.0695879446236778</v>
      </c>
      <c r="S15" s="29">
        <f>'3. Earnings Build'!AX384</f>
        <v>0.0740480991204233</v>
      </c>
      <c r="T15" s="29">
        <f>'3. Earnings Build'!AY384</f>
        <v>0.0665643728540661</v>
      </c>
      <c r="U15" s="29">
        <f>'3. Earnings Build'!AZ384</f>
        <v>0.153999919029979</v>
      </c>
      <c r="V15" s="30">
        <f>'3. Earnings Build'!BA384</f>
        <v>0.0970106566400786</v>
      </c>
      <c r="W15" s="29">
        <f>'3. Earnings Build'!BB384</f>
        <v>0.0902218319269978</v>
      </c>
      <c r="X15" s="29">
        <f>'3. Earnings Build'!BC384</f>
        <v>0.155553666167868</v>
      </c>
      <c r="Y15" s="29">
        <f>'3. Earnings Build'!BD384</f>
        <v>0.139945292793229</v>
      </c>
      <c r="Z15" s="29">
        <f>'3. Earnings Build'!BE384</f>
        <v>0.116168570614161</v>
      </c>
      <c r="AA15" s="30">
        <f>'3. Earnings Build'!BF384</f>
        <v>0.12468096942276</v>
      </c>
      <c r="AB15" s="29">
        <f>'3. Earnings Build'!BG384</f>
        <v>0.142027545893904</v>
      </c>
      <c r="AC15" s="29">
        <f>'3. Earnings Build'!BH384</f>
        <v>0.122461953210764</v>
      </c>
      <c r="AD15" s="29">
        <f>'3. Earnings Build'!BI384</f>
        <v>0.113489285481849</v>
      </c>
      <c r="AE15" s="29">
        <f>'3. Earnings Build'!BJ384</f>
        <v>0.121219681328589</v>
      </c>
      <c r="AF15" s="30">
        <f>'3. Earnings Build'!BK384</f>
        <v>0.124006560607469</v>
      </c>
      <c r="AG15" s="29">
        <f>'3. Earnings Build'!BL384</f>
        <v>0.0568574646505196</v>
      </c>
      <c r="AH15" s="29">
        <f>'3. Earnings Build'!BM384</f>
        <v>0.0853590428669941</v>
      </c>
      <c r="AI15" s="29">
        <f>'3. Earnings Build'!BN384</f>
        <v>0.0802884835301114</v>
      </c>
      <c r="AJ15" s="29">
        <f>'3. Earnings Build'!BO384</f>
        <v>0.0843474817698573</v>
      </c>
      <c r="AK15" s="30">
        <f>'3. Earnings Build'!BP384</f>
        <v>0.0778510605465874</v>
      </c>
      <c r="AL15" s="29">
        <f>'3. Earnings Build'!BQ384</f>
        <v>0.142498397516216</v>
      </c>
      <c r="AM15" s="29">
        <f>'3. Earnings Build'!BR384</f>
        <v>0.17503816941422</v>
      </c>
      <c r="AN15" s="29">
        <f>'3. Earnings Build'!BS384</f>
        <v>0.121799576570219</v>
      </c>
      <c r="AO15" s="29">
        <f>'3. Earnings Build'!BT384</f>
        <v>0.179457101308774</v>
      </c>
      <c r="AP15" s="30">
        <f>'3. Earnings Build'!BU384</f>
        <v>0.157492230720783</v>
      </c>
      <c r="AQ15" s="29">
        <f>'3. Earnings Build'!BV384</f>
        <v>0.169241780568895</v>
      </c>
      <c r="AR15" s="29">
        <f>'3. Earnings Build'!BW384</f>
        <v>0.20015625</v>
      </c>
      <c r="AS15" s="29">
        <f>'3. Earnings Build'!BX384</f>
        <v>0.215198048972796</v>
      </c>
      <c r="AT15" s="29">
        <f>'3. Earnings Build'!BY384</f>
        <v>0.138957156908678</v>
      </c>
      <c r="AU15" s="30">
        <f>'3. Earnings Build'!BZ384</f>
        <v>0.176223438801371</v>
      </c>
      <c r="AV15" s="29">
        <f>'3. Earnings Build'!CA384</f>
        <v>-0.486653423429472</v>
      </c>
      <c r="AW15" s="29">
        <f>'3. Earnings Build'!CB384</f>
        <v>-0.508013622129794</v>
      </c>
      <c r="AX15" s="29">
        <f>'3. Earnings Build'!CC384</f>
        <v>-0.116900776531493</v>
      </c>
      <c r="AY15" s="29">
        <f>'3. Earnings Build'!CD384</f>
        <v>-0.278468847726726</v>
      </c>
      <c r="AZ15" s="30">
        <f>'3. Earnings Build'!CE384</f>
        <v>-0.336763187713458</v>
      </c>
      <c r="BA15" s="29">
        <f>'3. Earnings Build'!CF384</f>
        <v>1.06402277185829</v>
      </c>
      <c r="BB15" s="29">
        <f>'3. Earnings Build'!CG384</f>
        <v>1.42033426183844</v>
      </c>
      <c r="BC15" s="29">
        <f>'3. Earnings Build'!CH384</f>
        <v>0.381830403551693</v>
      </c>
      <c r="BD15" s="29">
        <f>'3. Earnings Build'!CI384</f>
        <v>0.471346817118729</v>
      </c>
      <c r="BE15" s="30">
        <f>'3. Earnings Build'!CJ384</f>
        <v>0.700919395686177</v>
      </c>
      <c r="BF15" s="29">
        <f>'3. Earnings Build'!CK384</f>
        <v>0.363447288774917</v>
      </c>
      <c r="BG15" s="29">
        <f>'3. Earnings Build'!CL384</f>
        <v>0.299167050293474</v>
      </c>
      <c r="BH15" s="29">
        <f>'3. Earnings Build'!CM384</f>
        <v>0.277023587306974</v>
      </c>
      <c r="BI15" s="29">
        <f>'3. Earnings Build'!CN384</f>
        <v>0.258038165352983</v>
      </c>
      <c r="BJ15" s="30">
        <f>'3. Earnings Build'!CO384</f>
        <v>0.292975679222767</v>
      </c>
      <c r="BK15" s="29">
        <f>'3. Earnings Build'!CP384</f>
        <v>0.309570478018163</v>
      </c>
      <c r="BL15" s="29">
        <f>'3. Earnings Build'!CQ384</f>
        <v>0.214668295173059</v>
      </c>
      <c r="BM15" s="29">
        <f>'3. Earnings Build'!CR384</f>
        <v>0.189259849843864</v>
      </c>
      <c r="BN15" s="29">
        <f>'3. Earnings Build'!CS384</f>
        <v>0.15451473631692</v>
      </c>
      <c r="BO15" s="30">
        <f>'3. Earnings Build'!CT384</f>
        <v>0.209101547177497</v>
      </c>
      <c r="BP15" s="29"/>
      <c r="BQ15" s="29"/>
      <c r="BR15" s="29"/>
      <c r="BS15" s="29"/>
      <c r="BT15" s="30"/>
      <c r="BU15" s="29"/>
      <c r="BV15" s="29"/>
      <c r="BW15" s="29"/>
      <c r="BX15" s="29"/>
      <c r="BY15" s="30"/>
      <c r="BZ15" s="29"/>
      <c r="CA15" s="29"/>
      <c r="CB15" s="29"/>
      <c r="CC15" s="29"/>
      <c r="CD15" s="30"/>
      <c r="CE15" s="29"/>
      <c r="CF15" s="29"/>
      <c r="CG15" s="29"/>
      <c r="CH15" s="29"/>
      <c r="CI15" s="30"/>
      <c r="CJ15" s="29"/>
      <c r="CK15" s="29"/>
      <c r="CL15" s="29"/>
      <c r="CM15" s="29"/>
      <c r="CN15" s="30"/>
    </row>
    <row r="16" s="1" customFormat="1" ht="15" hidden="1" customHeight="1" outlineLevel="1" spans="2:92">
      <c r="B16" s="28" t="s">
        <v>490</v>
      </c>
      <c r="C16" s="29">
        <f>'3. Earnings Build'!AH386</f>
        <v>0.319710908144152</v>
      </c>
      <c r="D16" s="29">
        <f>'3. Earnings Build'!AI386</f>
        <v>0.322210819165379</v>
      </c>
      <c r="E16" s="29">
        <f>'3. Earnings Build'!AJ386</f>
        <v>0.304437079821987</v>
      </c>
      <c r="F16" s="29">
        <f>'3. Earnings Build'!AK386</f>
        <v>0.453698433136094</v>
      </c>
      <c r="G16" s="30">
        <f>'3. Earnings Build'!AL386</f>
        <v>0.362535061801072</v>
      </c>
      <c r="H16" s="29">
        <f>'3. Earnings Build'!AM386</f>
        <v>0.473700144285272</v>
      </c>
      <c r="I16" s="29">
        <f>'3. Earnings Build'!AN386</f>
        <v>0.320862363989749</v>
      </c>
      <c r="J16" s="29">
        <f>'3. Earnings Build'!AO386</f>
        <v>0.326446194004715</v>
      </c>
      <c r="K16" s="29">
        <f>'3. Earnings Build'!AP386</f>
        <v>0.279750916609001</v>
      </c>
      <c r="L16" s="30">
        <f>'3. Earnings Build'!AQ386</f>
        <v>0.336716629782865</v>
      </c>
      <c r="M16" s="29">
        <f>'3. Earnings Build'!AR386</f>
        <v>0.189208300127095</v>
      </c>
      <c r="N16" s="29">
        <f>'3. Earnings Build'!AS386</f>
        <v>0.195488960172464</v>
      </c>
      <c r="O16" s="29">
        <f>'3. Earnings Build'!AT386</f>
        <v>0.188892781885421</v>
      </c>
      <c r="P16" s="29">
        <f>'3. Earnings Build'!AU386</f>
        <v>0.0777683577978889</v>
      </c>
      <c r="Q16" s="30">
        <f>'3. Earnings Build'!AV386</f>
        <v>0.151824980484209</v>
      </c>
      <c r="R16" s="29">
        <f>'3. Earnings Build'!AW386</f>
        <v>0.102667984148122</v>
      </c>
      <c r="S16" s="29">
        <f>'3. Earnings Build'!AX386</f>
        <v>0.0959674480820647</v>
      </c>
      <c r="T16" s="29">
        <f>'3. Earnings Build'!AY386</f>
        <v>0.0883309927082307</v>
      </c>
      <c r="U16" s="29">
        <f>'3. Earnings Build'!AZ386</f>
        <v>0.189690638175236</v>
      </c>
      <c r="V16" s="30">
        <f>'3. Earnings Build'!BA386</f>
        <v>0.125768394108706</v>
      </c>
      <c r="W16" s="29">
        <f>'3. Earnings Build'!BB386</f>
        <v>0.135647741590623</v>
      </c>
      <c r="X16" s="29">
        <f>'3. Earnings Build'!BC386</f>
        <v>0.216372280176703</v>
      </c>
      <c r="Y16" s="29">
        <f>'3. Earnings Build'!BD386</f>
        <v>0.212707758290669</v>
      </c>
      <c r="Z16" s="29">
        <f>'3. Earnings Build'!BE386</f>
        <v>0.162675594389751</v>
      </c>
      <c r="AA16" s="30">
        <f>'3. Earnings Build'!BF386</f>
        <v>0.180115482634734</v>
      </c>
      <c r="AB16" s="29">
        <f>'3. Earnings Build'!BG386</f>
        <v>0.165334230503984</v>
      </c>
      <c r="AC16" s="29">
        <f>'3. Earnings Build'!BH386</f>
        <v>0.133799952738145</v>
      </c>
      <c r="AD16" s="29">
        <f>'3. Earnings Build'!BI386</f>
        <v>0.113489285481849</v>
      </c>
      <c r="AE16" s="29">
        <f>'3. Earnings Build'!BJ386</f>
        <v>0.121219681328589</v>
      </c>
      <c r="AF16" s="30">
        <f>'3. Earnings Build'!BK386</f>
        <v>0.131374980091532</v>
      </c>
      <c r="AG16" s="29">
        <f>'3. Earnings Build'!BL386</f>
        <v>0.0675327925762823</v>
      </c>
      <c r="AH16" s="29">
        <f>'3. Earnings Build'!BM386</f>
        <v>0.0853590428669941</v>
      </c>
      <c r="AI16" s="29">
        <f>'3. Earnings Build'!BN386</f>
        <v>0.0695925579506054</v>
      </c>
      <c r="AJ16" s="29">
        <f>'3. Earnings Build'!BO386</f>
        <v>0.0736113680889676</v>
      </c>
      <c r="AK16" s="30">
        <f>'3. Earnings Build'!BP386</f>
        <v>0.0740329925977461</v>
      </c>
      <c r="AL16" s="29">
        <f>'3. Earnings Build'!BQ386</f>
        <v>0.120096468153153</v>
      </c>
      <c r="AM16" s="29">
        <f>'3. Earnings Build'!BR386</f>
        <v>0.17503816941422</v>
      </c>
      <c r="AN16" s="29">
        <f>'3. Earnings Build'!BS386</f>
        <v>0.133130885424463</v>
      </c>
      <c r="AO16" s="29">
        <f>'3. Earnings Build'!BT386</f>
        <v>0.191370809402801</v>
      </c>
      <c r="AP16" s="30">
        <f>'3. Earnings Build'!BU386</f>
        <v>0.159505130970655</v>
      </c>
      <c r="AQ16" s="29">
        <f>'3. Earnings Build'!BV386</f>
        <v>0.193103857723363</v>
      </c>
      <c r="AR16" s="29">
        <f>'3. Earnings Build'!BW386</f>
        <v>0.21227904040404</v>
      </c>
      <c r="AS16" s="29">
        <f>'3. Earnings Build'!BX386</f>
        <v>0.227472776740198</v>
      </c>
      <c r="AT16" s="29">
        <f>'3. Earnings Build'!BY386</f>
        <v>0.138957156908678</v>
      </c>
      <c r="AU16" s="30">
        <f>'3. Earnings Build'!BZ386</f>
        <v>0.186609813782126</v>
      </c>
      <c r="AV16" s="29">
        <f>'3. Earnings Build'!CA386</f>
        <v>-0.482951058474582</v>
      </c>
      <c r="AW16" s="29">
        <f>'3. Earnings Build'!CB386</f>
        <v>-0.508013622129794</v>
      </c>
      <c r="AX16" s="29">
        <f>'3. Earnings Build'!CC386</f>
        <v>-0.125644333199498</v>
      </c>
      <c r="AY16" s="29">
        <f>'3. Earnings Build'!CD386</f>
        <v>-0.285612720521511</v>
      </c>
      <c r="AZ16" s="30">
        <f>'3. Earnings Build'!CE386</f>
        <v>-0.340414152563618</v>
      </c>
      <c r="BA16" s="29">
        <f>'3. Earnings Build'!CF386</f>
        <v>1.08487148672555</v>
      </c>
      <c r="BB16" s="29">
        <f>'3. Earnings Build'!CG386</f>
        <v>1.36130171886677</v>
      </c>
      <c r="BC16" s="29">
        <f>'3. Earnings Build'!CH386</f>
        <v>0.368148914407616</v>
      </c>
      <c r="BD16" s="29">
        <f>'3. Earnings Build'!CI386</f>
        <v>0.471346817118729</v>
      </c>
      <c r="BE16" s="30">
        <f>'3. Earnings Build'!CJ386</f>
        <v>0.689745286765827</v>
      </c>
      <c r="BF16" s="29">
        <f>'3. Earnings Build'!CK386</f>
        <v>0.363447288774917</v>
      </c>
      <c r="BG16" s="29">
        <f>'3. Earnings Build'!CL386</f>
        <v>0.32568066356477</v>
      </c>
      <c r="BH16" s="29">
        <f>'3. Earnings Build'!CM386</f>
        <v>0.316519162172139</v>
      </c>
      <c r="BI16" s="29">
        <f>'3. Earnings Build'!CN386</f>
        <v>0.283712413625493</v>
      </c>
      <c r="BJ16" s="30">
        <f>'3. Earnings Build'!CO386</f>
        <v>0.317438144486527</v>
      </c>
      <c r="BK16" s="29">
        <f>'3. Earnings Build'!CP386</f>
        <v>0.350072657750683</v>
      </c>
      <c r="BL16" s="29">
        <f>'3. Earnings Build'!CQ386</f>
        <v>0.239457444054141</v>
      </c>
      <c r="BM16" s="29">
        <f>'3. Earnings Build'!CR386</f>
        <v>0.189259849843864</v>
      </c>
      <c r="BN16" s="29">
        <f>'3. Earnings Build'!CS386</f>
        <v>0.166176501330223</v>
      </c>
      <c r="BO16" s="30">
        <f>'3. Earnings Build'!CT386</f>
        <v>0.226909898561967</v>
      </c>
      <c r="BP16" s="29"/>
      <c r="BQ16" s="29"/>
      <c r="BR16" s="29"/>
      <c r="BS16" s="29"/>
      <c r="BT16" s="30"/>
      <c r="BU16" s="29"/>
      <c r="BV16" s="29"/>
      <c r="BW16" s="29"/>
      <c r="BX16" s="29"/>
      <c r="BY16" s="30"/>
      <c r="BZ16" s="29"/>
      <c r="CA16" s="29"/>
      <c r="CB16" s="29"/>
      <c r="CC16" s="29"/>
      <c r="CD16" s="30"/>
      <c r="CE16" s="29"/>
      <c r="CF16" s="29"/>
      <c r="CG16" s="29"/>
      <c r="CH16" s="29"/>
      <c r="CI16" s="30"/>
      <c r="CJ16" s="29"/>
      <c r="CK16" s="29"/>
      <c r="CL16" s="29"/>
      <c r="CM16" s="29"/>
      <c r="CN16" s="30"/>
    </row>
    <row r="17" ht="15" hidden="1" customHeight="1" outlineLevel="1" spans="2:92">
      <c r="B17" s="25" t="s">
        <v>54</v>
      </c>
      <c r="C17" s="26">
        <f>'3. Earnings Build'!AH461</f>
        <v>13.82172</v>
      </c>
      <c r="D17" s="26">
        <f>'3. Earnings Build'!AI461</f>
        <v>18.6</v>
      </c>
      <c r="E17" s="26">
        <f>'3. Earnings Build'!AJ461</f>
        <v>23.9</v>
      </c>
      <c r="F17" s="26">
        <f>'3. Earnings Build'!AK461</f>
        <v>50.1</v>
      </c>
      <c r="G17" s="27">
        <f>'3. Earnings Build'!AL461</f>
        <v>106.42172</v>
      </c>
      <c r="H17" s="26">
        <f>'3. Earnings Build'!AM461</f>
        <v>38.447</v>
      </c>
      <c r="I17" s="26">
        <f>'3. Earnings Build'!AN461</f>
        <v>35.422</v>
      </c>
      <c r="J17" s="26">
        <f>'3. Earnings Build'!AO461</f>
        <v>45.122</v>
      </c>
      <c r="K17" s="26">
        <f>'3. Earnings Build'!AP461</f>
        <v>78.3</v>
      </c>
      <c r="L17" s="27">
        <f>'3. Earnings Build'!AQ461</f>
        <v>197.291</v>
      </c>
      <c r="M17" s="26">
        <f>'3. Earnings Build'!AR461</f>
        <v>53.967</v>
      </c>
      <c r="N17" s="26">
        <f>'3. Earnings Build'!AS461</f>
        <v>49.384</v>
      </c>
      <c r="O17" s="26">
        <f>'3. Earnings Build'!AT461</f>
        <v>61.954</v>
      </c>
      <c r="P17" s="26">
        <f>'3. Earnings Build'!AU461</f>
        <v>97.778</v>
      </c>
      <c r="Q17" s="27">
        <f>'3. Earnings Build'!AV461</f>
        <v>263.083</v>
      </c>
      <c r="R17" s="26">
        <f>'3. Earnings Build'!AW461</f>
        <v>65.974</v>
      </c>
      <c r="S17" s="26">
        <f>'3. Earnings Build'!AX461</f>
        <v>63.5</v>
      </c>
      <c r="T17" s="26">
        <f>'3. Earnings Build'!AY461</f>
        <v>77.203</v>
      </c>
      <c r="U17" s="26">
        <f>'3. Earnings Build'!AZ461</f>
        <v>114.5</v>
      </c>
      <c r="V17" s="27">
        <f>'3. Earnings Build'!BA461</f>
        <v>321.177</v>
      </c>
      <c r="W17" s="26">
        <f>'3. Earnings Build'!BB461</f>
        <v>83.636</v>
      </c>
      <c r="X17" s="26">
        <f>'3. Earnings Build'!BC461</f>
        <v>82.239</v>
      </c>
      <c r="Y17" s="26">
        <f>'3. Earnings Build'!BD461</f>
        <v>89.33</v>
      </c>
      <c r="Z17" s="26">
        <f>'3. Earnings Build'!BE461</f>
        <v>146.32</v>
      </c>
      <c r="AA17" s="27">
        <f>'3. Earnings Build'!BF461</f>
        <v>401.525</v>
      </c>
      <c r="AB17" s="26">
        <f>'3. Earnings Build'!BG461</f>
        <v>97.566</v>
      </c>
      <c r="AC17" s="26">
        <f>'3. Earnings Build'!BH461</f>
        <v>87.399</v>
      </c>
      <c r="AD17" s="26">
        <f>'3. Earnings Build'!BI461</f>
        <v>104.013</v>
      </c>
      <c r="AE17" s="26">
        <f>'3. Earnings Build'!BJ461</f>
        <v>164.309</v>
      </c>
      <c r="AF17" s="27">
        <f>'3. Earnings Build'!BK461</f>
        <v>453.287</v>
      </c>
      <c r="AG17" s="26">
        <f>'3. Earnings Build'!BL461</f>
        <v>97.223</v>
      </c>
      <c r="AH17" s="26">
        <f>'3. Earnings Build'!BM461</f>
        <v>113.049</v>
      </c>
      <c r="AI17" s="26">
        <f>'3. Earnings Build'!BN461</f>
        <v>131.181</v>
      </c>
      <c r="AJ17" s="26">
        <f>'3. Earnings Build'!BO461</f>
        <v>236.14</v>
      </c>
      <c r="AK17" s="27">
        <f>'3. Earnings Build'!BP461</f>
        <v>577.593</v>
      </c>
      <c r="AL17" s="26">
        <f>'3. Earnings Build'!BQ461</f>
        <v>157.82</v>
      </c>
      <c r="AM17" s="26">
        <f>'3. Earnings Build'!BR461</f>
        <v>167.4</v>
      </c>
      <c r="AN17" s="26">
        <f>'3. Earnings Build'!BS461</f>
        <v>189.375</v>
      </c>
      <c r="AO17" s="26">
        <f>'3. Earnings Build'!BT461</f>
        <v>344.261</v>
      </c>
      <c r="AP17" s="27">
        <f>'3. Earnings Build'!BU461</f>
        <v>858.856</v>
      </c>
      <c r="AQ17" s="26">
        <f>'3. Earnings Build'!BV461</f>
        <v>209.844</v>
      </c>
      <c r="AR17" s="26">
        <f>'3. Earnings Build'!BW461</f>
        <v>217.636</v>
      </c>
      <c r="AS17" s="26">
        <f>'3. Earnings Build'!BX461</f>
        <v>246.7</v>
      </c>
      <c r="AT17" s="26">
        <f>'3. Earnings Build'!BY461</f>
        <v>463.6</v>
      </c>
      <c r="AU17" s="27">
        <f>'3. Earnings Build'!BZ461</f>
        <v>1137.78</v>
      </c>
      <c r="AV17" s="26">
        <f>'3. Earnings Build'!CA461</f>
        <v>352.039</v>
      </c>
      <c r="AW17" s="26">
        <f>'3. Earnings Build'!CB461</f>
        <v>554.3</v>
      </c>
      <c r="AX17" s="26">
        <f>'3. Earnings Build'!CC461</f>
        <v>478.263</v>
      </c>
      <c r="AY17" s="26">
        <f>'3. Earnings Build'!CD461</f>
        <v>899.466</v>
      </c>
      <c r="AZ17" s="27">
        <f>'3. Earnings Build'!CE461</f>
        <v>2284.068</v>
      </c>
      <c r="BA17" s="26">
        <f>'3. Earnings Build'!CF461</f>
        <v>545.1</v>
      </c>
      <c r="BB17" s="26">
        <f>'3. Earnings Build'!CG461</f>
        <v>597.426</v>
      </c>
      <c r="BC17" s="26">
        <f>'3. Earnings Build'!CH461</f>
        <v>586.525</v>
      </c>
      <c r="BD17" s="26">
        <f>'3. Earnings Build'!CI461</f>
        <v>1048.893</v>
      </c>
      <c r="BE17" s="27">
        <f>'3. Earnings Build'!CJ461</f>
        <v>2777.944</v>
      </c>
      <c r="BF17" s="26">
        <f>'3. Earnings Build'!CK461</f>
        <v>721.253</v>
      </c>
      <c r="BG17" s="26">
        <f>'3. Earnings Build'!CL461</f>
        <v>775.425</v>
      </c>
      <c r="BH17" s="26">
        <f>'3. Earnings Build'!CM461</f>
        <v>767.351</v>
      </c>
      <c r="BI17" s="26">
        <f>'3. Earnings Build'!CN461</f>
        <v>1435.762</v>
      </c>
      <c r="BJ17" s="27">
        <f>'3. Earnings Build'!CO461</f>
        <v>3699.791</v>
      </c>
      <c r="BK17" s="26">
        <f>'3. Earnings Build'!CP461</f>
        <v>834.942</v>
      </c>
      <c r="BL17" s="26">
        <f>'3. Earnings Build'!CQ461</f>
        <v>893.673</v>
      </c>
      <c r="BM17" s="26">
        <f>'3. Earnings Build'!CR461</f>
        <v>908.127</v>
      </c>
      <c r="BN17" s="26">
        <f>'3. Earnings Build'!CS461</f>
        <v>1674.368</v>
      </c>
      <c r="BO17" s="27">
        <f>'3. Earnings Build'!CT461</f>
        <v>4311.11</v>
      </c>
      <c r="BP17" s="26"/>
      <c r="BQ17" s="26"/>
      <c r="BR17" s="26"/>
      <c r="BS17" s="26"/>
      <c r="BT17" s="27"/>
      <c r="BU17" s="26"/>
      <c r="BV17" s="26"/>
      <c r="BW17" s="26"/>
      <c r="BX17" s="26"/>
      <c r="BY17" s="27"/>
      <c r="BZ17" s="26"/>
      <c r="CA17" s="26"/>
      <c r="CB17" s="26"/>
      <c r="CC17" s="26"/>
      <c r="CD17" s="27"/>
      <c r="CE17" s="26"/>
      <c r="CF17" s="26"/>
      <c r="CG17" s="26"/>
      <c r="CH17" s="26"/>
      <c r="CI17" s="27"/>
      <c r="CJ17" s="26"/>
      <c r="CK17" s="26"/>
      <c r="CL17" s="26"/>
      <c r="CM17" s="26"/>
      <c r="CN17" s="27"/>
    </row>
    <row r="18" ht="15" hidden="1" customHeight="1" outlineLevel="1" spans="2:92">
      <c r="B18" s="28" t="s">
        <v>307</v>
      </c>
      <c r="C18" s="29">
        <f>'3. Earnings Build'!AH462</f>
        <v>0.514244396240058</v>
      </c>
      <c r="D18" s="29">
        <f>'3. Earnings Build'!AI462</f>
        <v>0.9375</v>
      </c>
      <c r="E18" s="29">
        <f>'3. Earnings Build'!AJ462</f>
        <v>0.783582089552239</v>
      </c>
      <c r="F18" s="29">
        <f>'3. Earnings Build'!AK462</f>
        <v>1.03658536585366</v>
      </c>
      <c r="G18" s="30">
        <f>'3. Earnings Build'!AL462</f>
        <v>0.876006473016757</v>
      </c>
      <c r="H18" s="29">
        <f>'3. Earnings Build'!AM462</f>
        <v>1.78163643888026</v>
      </c>
      <c r="I18" s="29">
        <f>'3. Earnings Build'!AN462</f>
        <v>0.904408602150537</v>
      </c>
      <c r="J18" s="29">
        <f>'3. Earnings Build'!AO462</f>
        <v>0.887949790794979</v>
      </c>
      <c r="K18" s="29">
        <f>'3. Earnings Build'!AP462</f>
        <v>0.562874251497006</v>
      </c>
      <c r="L18" s="30">
        <f>'3. Earnings Build'!AQ462</f>
        <v>0.853860283408312</v>
      </c>
      <c r="M18" s="29">
        <f>'3. Earnings Build'!AR462</f>
        <v>0.403672588238354</v>
      </c>
      <c r="N18" s="29">
        <f>'3. Earnings Build'!AS462</f>
        <v>0.394161820337643</v>
      </c>
      <c r="O18" s="29">
        <f>'3. Earnings Build'!AT462</f>
        <v>0.373033110234475</v>
      </c>
      <c r="P18" s="29">
        <f>'3. Earnings Build'!AU462</f>
        <v>0.248761174968072</v>
      </c>
      <c r="Q18" s="30">
        <f>'3. Earnings Build'!AV462</f>
        <v>0.333476945223046</v>
      </c>
      <c r="R18" s="29">
        <f>'3. Earnings Build'!AW462</f>
        <v>0.222487816628681</v>
      </c>
      <c r="S18" s="29">
        <f>'3. Earnings Build'!AX462</f>
        <v>0.285841568119229</v>
      </c>
      <c r="T18" s="29">
        <f>'3. Earnings Build'!AY462</f>
        <v>0.246134228621235</v>
      </c>
      <c r="U18" s="29">
        <f>'3. Earnings Build'!AZ462</f>
        <v>0.171020065863486</v>
      </c>
      <c r="V18" s="30">
        <f>'3. Earnings Build'!BA462</f>
        <v>0.220820045384917</v>
      </c>
      <c r="W18" s="29">
        <f>'3. Earnings Build'!BB462</f>
        <v>0.267711522721072</v>
      </c>
      <c r="X18" s="29">
        <f>'3. Earnings Build'!BC462</f>
        <v>0.295102362204724</v>
      </c>
      <c r="Y18" s="29">
        <f>'3. Earnings Build'!BD462</f>
        <v>0.15707938810668</v>
      </c>
      <c r="Z18" s="29">
        <f>'3. Earnings Build'!BE462</f>
        <v>0.277903930131004</v>
      </c>
      <c r="AA18" s="30">
        <f>'3. Earnings Build'!BF462</f>
        <v>0.250167353203996</v>
      </c>
      <c r="AB18" s="29">
        <f>'3. Earnings Build'!BG462</f>
        <v>0.166555071978574</v>
      </c>
      <c r="AC18" s="29">
        <f>'3. Earnings Build'!BH462</f>
        <v>0.0627439535986576</v>
      </c>
      <c r="AD18" s="29">
        <f>'3. Earnings Build'!BI462</f>
        <v>0.164368073435576</v>
      </c>
      <c r="AE18" s="29">
        <f>'3. Earnings Build'!BJ462</f>
        <v>0.122942864953526</v>
      </c>
      <c r="AF18" s="30">
        <f>'3. Earnings Build'!BK462</f>
        <v>0.128913517215616</v>
      </c>
      <c r="AG18" s="29">
        <f>'3. Earnings Build'!BL462</f>
        <v>-0.00351556894819915</v>
      </c>
      <c r="AH18" s="29">
        <f>'3. Earnings Build'!BM462</f>
        <v>0.293481618782824</v>
      </c>
      <c r="AI18" s="29">
        <f>'3. Earnings Build'!BN462</f>
        <v>0.261198119465836</v>
      </c>
      <c r="AJ18" s="29">
        <f>'3. Earnings Build'!BO462</f>
        <v>0.437170209787656</v>
      </c>
      <c r="AK18" s="30">
        <f>'3. Earnings Build'!BP462</f>
        <v>0.274232439933199</v>
      </c>
      <c r="AL18" s="29">
        <f>'3. Earnings Build'!BQ462</f>
        <v>0.62327844234389</v>
      </c>
      <c r="AM18" s="29">
        <f>'3. Earnings Build'!BR462</f>
        <v>0.480773823740148</v>
      </c>
      <c r="AN18" s="29">
        <f>'3. Earnings Build'!BS462</f>
        <v>0.443616072449516</v>
      </c>
      <c r="AO18" s="29">
        <f>'3. Earnings Build'!BT462</f>
        <v>0.457868213771491</v>
      </c>
      <c r="AP18" s="30">
        <f>'3. Earnings Build'!BU462</f>
        <v>0.486957078773462</v>
      </c>
      <c r="AQ18" s="29">
        <f>'3. Earnings Build'!BV462</f>
        <v>0.329641363578761</v>
      </c>
      <c r="AR18" s="29">
        <f>'3. Earnings Build'!BW462</f>
        <v>0.300095579450418</v>
      </c>
      <c r="AS18" s="29">
        <f>'3. Earnings Build'!BX462</f>
        <v>0.302706270627063</v>
      </c>
      <c r="AT18" s="29">
        <f>'3. Earnings Build'!BY462</f>
        <v>0.346652685026768</v>
      </c>
      <c r="AU18" s="30">
        <f>'3. Earnings Build'!BZ462</f>
        <v>0.324762241865924</v>
      </c>
      <c r="AV18" s="29">
        <f>'3. Earnings Build'!CA462</f>
        <v>0.677622424277082</v>
      </c>
      <c r="AW18" s="29">
        <f>'3. Earnings Build'!CB462</f>
        <v>1.54691319450826</v>
      </c>
      <c r="AX18" s="29">
        <f>'3. Earnings Build'!CC462</f>
        <v>0.938642075395217</v>
      </c>
      <c r="AY18" s="29">
        <f>'3. Earnings Build'!CD462</f>
        <v>0.940176876617774</v>
      </c>
      <c r="AZ18" s="30">
        <f>'3. Earnings Build'!CE462</f>
        <v>1.00747771977008</v>
      </c>
      <c r="BA18" s="29">
        <f>'3. Earnings Build'!CF462</f>
        <v>0.548407988887595</v>
      </c>
      <c r="BB18" s="29">
        <f>'3. Earnings Build'!CG462</f>
        <v>0.0778026339527333</v>
      </c>
      <c r="BC18" s="29">
        <f>'3. Earnings Build'!CH462</f>
        <v>0.226364991646855</v>
      </c>
      <c r="BD18" s="29">
        <f>'3. Earnings Build'!CI462</f>
        <v>0.166128569617973</v>
      </c>
      <c r="BE18" s="30">
        <f>'3. Earnings Build'!CJ462</f>
        <v>0.216226487127353</v>
      </c>
      <c r="BF18" s="29">
        <f>'3. Earnings Build'!CK462</f>
        <v>0.323157218858925</v>
      </c>
      <c r="BG18" s="29">
        <f>'3. Earnings Build'!CL462</f>
        <v>0.297943176226009</v>
      </c>
      <c r="BH18" s="29">
        <f>'3. Earnings Build'!CM462</f>
        <v>0.308300583947828</v>
      </c>
      <c r="BI18" s="29">
        <f>'3. Earnings Build'!CN462</f>
        <v>0.36883552469127</v>
      </c>
      <c r="BJ18" s="30">
        <f>'3. Earnings Build'!CO462</f>
        <v>0.331845062391467</v>
      </c>
      <c r="BK18" s="29">
        <f>'3. Earnings Build'!CP462</f>
        <v>0.15762707399484</v>
      </c>
      <c r="BL18" s="29">
        <f>'3. Earnings Build'!CQ462</f>
        <v>0.152494438533707</v>
      </c>
      <c r="BM18" s="29">
        <f>'3. Earnings Build'!CR462</f>
        <v>0.183457114149848</v>
      </c>
      <c r="BN18" s="29">
        <f>'3. Earnings Build'!CS462</f>
        <v>0.166187710776577</v>
      </c>
      <c r="BO18" s="30">
        <f>'3. Earnings Build'!CT462</f>
        <v>0.165230684652187</v>
      </c>
      <c r="BP18" s="29"/>
      <c r="BQ18" s="29"/>
      <c r="BR18" s="29"/>
      <c r="BS18" s="29"/>
      <c r="BT18" s="30"/>
      <c r="BU18" s="29"/>
      <c r="BV18" s="29"/>
      <c r="BW18" s="29"/>
      <c r="BX18" s="29"/>
      <c r="BY18" s="30"/>
      <c r="BZ18" s="29"/>
      <c r="CA18" s="29"/>
      <c r="CB18" s="29"/>
      <c r="CC18" s="29"/>
      <c r="CD18" s="30"/>
      <c r="CE18" s="29"/>
      <c r="CF18" s="29"/>
      <c r="CG18" s="29"/>
      <c r="CH18" s="29"/>
      <c r="CI18" s="30"/>
      <c r="CJ18" s="29"/>
      <c r="CK18" s="29"/>
      <c r="CL18" s="29"/>
      <c r="CM18" s="29"/>
      <c r="CN18" s="30"/>
    </row>
    <row r="19" s="2" customFormat="1" ht="15" hidden="1" customHeight="1" outlineLevel="1" spans="2:92">
      <c r="B19" s="31" t="s">
        <v>490</v>
      </c>
      <c r="C19" s="780" t="s">
        <v>208</v>
      </c>
      <c r="D19" s="780" t="s">
        <v>208</v>
      </c>
      <c r="E19" s="780" t="s">
        <v>208</v>
      </c>
      <c r="F19" s="780" t="s">
        <v>208</v>
      </c>
      <c r="G19" s="781" t="s">
        <v>208</v>
      </c>
      <c r="H19" s="780" t="s">
        <v>208</v>
      </c>
      <c r="I19" s="780" t="s">
        <v>208</v>
      </c>
      <c r="J19" s="780" t="s">
        <v>208</v>
      </c>
      <c r="K19" s="780" t="s">
        <v>208</v>
      </c>
      <c r="L19" s="781" t="s">
        <v>208</v>
      </c>
      <c r="M19" s="780" t="s">
        <v>208</v>
      </c>
      <c r="N19" s="780" t="s">
        <v>208</v>
      </c>
      <c r="O19" s="780" t="s">
        <v>208</v>
      </c>
      <c r="P19" s="780" t="s">
        <v>208</v>
      </c>
      <c r="Q19" s="781" t="s">
        <v>208</v>
      </c>
      <c r="R19" s="29">
        <f>'3. Earnings Build'!AW465</f>
        <v>0.260296718173898</v>
      </c>
      <c r="S19" s="29">
        <f>'3. Earnings Build'!AX465</f>
        <v>0.2988298667871</v>
      </c>
      <c r="T19" s="29">
        <f>'3. Earnings Build'!AY465</f>
        <v>0.271565539409424</v>
      </c>
      <c r="U19" s="29">
        <f>'3. Earnings Build'!AZ465</f>
        <v>0.207237181302563</v>
      </c>
      <c r="V19" s="30">
        <f>'3. Earnings Build'!BA465</f>
        <v>0.250463373433777</v>
      </c>
      <c r="W19" s="29">
        <f>'3. Earnings Build'!BB465</f>
        <v>0.320532836167783</v>
      </c>
      <c r="X19" s="29">
        <f>'3. Earnings Build'!BC465</f>
        <v>0.363265644426026</v>
      </c>
      <c r="Y19" s="29">
        <f>'3. Earnings Build'!BD465</f>
        <v>0.217978303270189</v>
      </c>
      <c r="Z19" s="29">
        <f>'3. Earnings Build'!BE465</f>
        <v>0.345162031716847</v>
      </c>
      <c r="AA19" s="30">
        <f>'3. Earnings Build'!BF465</f>
        <v>0.313110320269924</v>
      </c>
      <c r="AB19" s="29">
        <f>'3. Earnings Build'!BG465</f>
        <v>0.178338456544014</v>
      </c>
      <c r="AC19" s="29">
        <f>'3. Earnings Build'!BH465</f>
        <v>0.073478741008745</v>
      </c>
      <c r="AD19" s="29">
        <f>'3. Earnings Build'!BI465</f>
        <v>0.164368073435576</v>
      </c>
      <c r="AE19" s="29">
        <f>'3. Earnings Build'!BJ465</f>
        <v>0.122942864953526</v>
      </c>
      <c r="AF19" s="30">
        <f>'3. Earnings Build'!BK465</f>
        <v>0.133566610630305</v>
      </c>
      <c r="AG19" s="29">
        <f>'3. Earnings Build'!BL465</f>
        <v>-0.00351556894819915</v>
      </c>
      <c r="AH19" s="29">
        <f>'3. Earnings Build'!BM465</f>
        <v>0.303912922160105</v>
      </c>
      <c r="AI19" s="29">
        <f>'3. Earnings Build'!BN465</f>
        <v>0.248711009372115</v>
      </c>
      <c r="AJ19" s="29">
        <f>'3. Earnings Build'!BO465</f>
        <v>0.417170209787656</v>
      </c>
      <c r="AK19" s="30">
        <f>'3. Earnings Build'!BP465</f>
        <v>0.266128708084928</v>
      </c>
      <c r="AL19" s="29">
        <f>'3. Earnings Build'!BQ465</f>
        <v>0.6</v>
      </c>
      <c r="AM19" s="29">
        <f>'3. Earnings Build'!BR465</f>
        <v>0.47</v>
      </c>
      <c r="AN19" s="29">
        <f>'3. Earnings Build'!BS465</f>
        <v>0.46</v>
      </c>
      <c r="AO19" s="29">
        <f>'3. Earnings Build'!BT465</f>
        <v>0.477868213771491</v>
      </c>
      <c r="AP19" s="30">
        <f>'3. Earnings Build'!BU465</f>
        <v>0.492827804353585</v>
      </c>
      <c r="AQ19" s="29">
        <f>'3. Earnings Build'!BV465</f>
        <v>0.35</v>
      </c>
      <c r="AR19" s="29">
        <f>'3. Earnings Build'!BW465</f>
        <v>0.31</v>
      </c>
      <c r="AS19" s="29">
        <f>'3. Earnings Build'!BX465</f>
        <v>0.3</v>
      </c>
      <c r="AT19" s="29">
        <f>'3. Earnings Build'!BY465</f>
        <v>0.346652685026768</v>
      </c>
      <c r="AU19" s="30">
        <f>'3. Earnings Build'!BZ465</f>
        <v>0.329837015751185</v>
      </c>
      <c r="AV19" s="29">
        <f>'3. Earnings Build'!CA465</f>
        <v>0.7</v>
      </c>
      <c r="AW19" s="29">
        <f>'3. Earnings Build'!CB465</f>
        <v>1.57</v>
      </c>
      <c r="AX19" s="29">
        <f>'3. Earnings Build'!CC465</f>
        <v>0.93</v>
      </c>
      <c r="AY19" s="29">
        <f>'3. Earnings Build'!CD465</f>
        <v>0.92</v>
      </c>
      <c r="AZ19" s="30">
        <f>'3. Earnings Build'!CE465</f>
        <v>1.00592585561356</v>
      </c>
      <c r="BA19" s="29">
        <f>'3. Earnings Build'!CF465</f>
        <v>0.5</v>
      </c>
      <c r="BB19" s="29">
        <f>'3. Earnings Build'!CG465</f>
        <v>0.04</v>
      </c>
      <c r="BC19" s="29">
        <f>'3. Earnings Build'!CH465</f>
        <v>0.21</v>
      </c>
      <c r="BD19" s="29">
        <f>'3. Earnings Build'!CI465</f>
        <v>0.16</v>
      </c>
      <c r="BE19" s="30">
        <f>'3. Earnings Build'!CJ465</f>
        <v>0.193751363794773</v>
      </c>
      <c r="BF19" s="29">
        <f>'3. Earnings Build'!CK465</f>
        <v>0.33</v>
      </c>
      <c r="BG19" s="29">
        <f>'3. Earnings Build'!CL465</f>
        <v>0.32</v>
      </c>
      <c r="BH19" s="29">
        <f>'3. Earnings Build'!CM465</f>
        <v>0.34</v>
      </c>
      <c r="BI19" s="29">
        <f>'3. Earnings Build'!CN465</f>
        <v>0.39</v>
      </c>
      <c r="BJ19" s="30">
        <f>'3. Earnings Build'!CO465</f>
        <v>0.352615491888965</v>
      </c>
      <c r="BK19" s="29">
        <f>'3. Earnings Build'!CP465</f>
        <v>0.18</v>
      </c>
      <c r="BL19" s="29">
        <f>'3. Earnings Build'!CQ465</f>
        <v>0.17</v>
      </c>
      <c r="BM19" s="29">
        <f>'3. Earnings Build'!CR465</f>
        <v>0.19</v>
      </c>
      <c r="BN19" s="29">
        <f>'3. Earnings Build'!CS465</f>
        <v>0.17</v>
      </c>
      <c r="BO19" s="30">
        <f>'3. Earnings Build'!CT465</f>
        <v>0.176097520103163</v>
      </c>
      <c r="BP19" s="29"/>
      <c r="BQ19" s="29"/>
      <c r="BR19" s="29"/>
      <c r="BS19" s="29"/>
      <c r="BT19" s="30"/>
      <c r="BU19" s="29"/>
      <c r="BV19" s="29"/>
      <c r="BW19" s="29"/>
      <c r="BX19" s="29"/>
      <c r="BY19" s="30"/>
      <c r="BZ19" s="29"/>
      <c r="CA19" s="29"/>
      <c r="CB19" s="29"/>
      <c r="CC19" s="29"/>
      <c r="CD19" s="30"/>
      <c r="CE19" s="29"/>
      <c r="CF19" s="29"/>
      <c r="CG19" s="29"/>
      <c r="CH19" s="29"/>
      <c r="CI19" s="30"/>
      <c r="CJ19" s="29"/>
      <c r="CK19" s="29"/>
      <c r="CL19" s="29"/>
      <c r="CM19" s="29"/>
      <c r="CN19" s="30"/>
    </row>
    <row r="20" ht="15" hidden="1" customHeight="1" outlineLevel="1" spans="2:92">
      <c r="B20" s="25" t="s">
        <v>55</v>
      </c>
      <c r="C20" s="26">
        <f>'3. Earnings Build'!AH476</f>
        <v>16.45828</v>
      </c>
      <c r="D20" s="26">
        <f>'3. Earnings Build'!AI476</f>
        <v>15.5</v>
      </c>
      <c r="E20" s="26">
        <f>'3. Earnings Build'!AJ476</f>
        <v>16.3</v>
      </c>
      <c r="F20" s="26">
        <f>'3. Earnings Build'!AK476</f>
        <v>28.94972</v>
      </c>
      <c r="G20" s="27">
        <f>'3. Earnings Build'!AL476</f>
        <v>77.208</v>
      </c>
      <c r="H20" s="26">
        <f>'3. Earnings Build'!AM476</f>
        <v>18.462</v>
      </c>
      <c r="I20" s="26">
        <f>'3. Earnings Build'!AN476</f>
        <v>15.898</v>
      </c>
      <c r="J20" s="26">
        <f>'3. Earnings Build'!AO476</f>
        <v>19.369</v>
      </c>
      <c r="K20" s="26">
        <f>'3. Earnings Build'!AP476</f>
        <v>29.193</v>
      </c>
      <c r="L20" s="27">
        <f>'3. Earnings Build'!AQ476</f>
        <v>82.922</v>
      </c>
      <c r="M20" s="26">
        <f>'3. Earnings Build'!AR476</f>
        <v>22.458</v>
      </c>
      <c r="N20" s="26">
        <f>'3. Earnings Build'!AS476</f>
        <v>21.361</v>
      </c>
      <c r="O20" s="26">
        <f>'3. Earnings Build'!AT476</f>
        <v>27.28</v>
      </c>
      <c r="P20" s="26">
        <f>'3. Earnings Build'!AU476</f>
        <v>28.007</v>
      </c>
      <c r="Q20" s="27">
        <f>'3. Earnings Build'!AV476</f>
        <v>99.106</v>
      </c>
      <c r="R20" s="26">
        <f>'3. Earnings Build'!AW476</f>
        <v>30.543</v>
      </c>
      <c r="S20" s="26">
        <f>'3. Earnings Build'!AX476</f>
        <v>33.187</v>
      </c>
      <c r="T20" s="26">
        <f>'3. Earnings Build'!AY476</f>
        <v>32.179</v>
      </c>
      <c r="U20" s="26">
        <f>'3. Earnings Build'!AZ476</f>
        <v>31.899</v>
      </c>
      <c r="V20" s="27">
        <f>'3. Earnings Build'!BA476</f>
        <v>127.808</v>
      </c>
      <c r="W20" s="26">
        <f>'3. Earnings Build'!BB476</f>
        <v>25.814</v>
      </c>
      <c r="X20" s="26">
        <f>'3. Earnings Build'!BC476</f>
        <v>30.992</v>
      </c>
      <c r="Y20" s="26">
        <f>'3. Earnings Build'!BD476</f>
        <v>36.964</v>
      </c>
      <c r="Z20" s="26">
        <f>'3. Earnings Build'!BE476</f>
        <v>48.905</v>
      </c>
      <c r="AA20" s="27">
        <f>'3. Earnings Build'!BF476</f>
        <v>142.675</v>
      </c>
      <c r="AB20" s="26">
        <f>'3. Earnings Build'!BG476</f>
        <v>39.246</v>
      </c>
      <c r="AC20" s="26">
        <f>'3. Earnings Build'!BH476</f>
        <v>45.732</v>
      </c>
      <c r="AD20" s="26">
        <f>'3. Earnings Build'!BI476</f>
        <v>46.897</v>
      </c>
      <c r="AE20" s="26">
        <f>'3. Earnings Build'!BJ476</f>
        <v>54.873</v>
      </c>
      <c r="AF20" s="27">
        <f>'3. Earnings Build'!BK476</f>
        <v>186.748</v>
      </c>
      <c r="AG20" s="26">
        <f>'3. Earnings Build'!BL476</f>
        <v>43.985</v>
      </c>
      <c r="AH20" s="26">
        <f>'3. Earnings Build'!BM476</f>
        <v>54.061</v>
      </c>
      <c r="AI20" s="26">
        <f>'3. Earnings Build'!BN476</f>
        <v>62.753</v>
      </c>
      <c r="AJ20" s="26">
        <f>'3. Earnings Build'!BO476</f>
        <v>73.74</v>
      </c>
      <c r="AK20" s="27">
        <f>'3. Earnings Build'!BP476</f>
        <v>234.539</v>
      </c>
      <c r="AL20" s="26">
        <f>'3. Earnings Build'!BQ476</f>
        <v>58.72</v>
      </c>
      <c r="AM20" s="26">
        <f>'3. Earnings Build'!BR476</f>
        <v>69.7</v>
      </c>
      <c r="AN20" s="26">
        <f>'3. Earnings Build'!BS476</f>
        <v>81.403</v>
      </c>
      <c r="AO20" s="26">
        <f>'3. Earnings Build'!BT476</f>
        <v>93.277</v>
      </c>
      <c r="AP20" s="27">
        <f>'3. Earnings Build'!BU476</f>
        <v>303.1</v>
      </c>
      <c r="AQ20" s="26">
        <f>'3. Earnings Build'!BV476</f>
        <v>66.049</v>
      </c>
      <c r="AR20" s="26">
        <f>'3. Earnings Build'!BW476</f>
        <v>81.96</v>
      </c>
      <c r="AS20" s="26">
        <f>'3. Earnings Build'!BX476</f>
        <v>89.9</v>
      </c>
      <c r="AT20" s="26">
        <f>'3. Earnings Build'!BY476</f>
        <v>102.5</v>
      </c>
      <c r="AU20" s="27">
        <f>'3. Earnings Build'!BZ476</f>
        <v>340.409</v>
      </c>
      <c r="AV20" s="26">
        <f>'3. Earnings Build'!CA476</f>
        <v>39.953</v>
      </c>
      <c r="AW20" s="26">
        <f>'3. Earnings Build'!CB476</f>
        <v>61.439</v>
      </c>
      <c r="AX20" s="26">
        <f>'3. Earnings Build'!CC476</f>
        <v>127.407</v>
      </c>
      <c r="AY20" s="26">
        <f>'3. Earnings Build'!CD476</f>
        <v>230.205</v>
      </c>
      <c r="AZ20" s="27">
        <f>'3. Earnings Build'!CE476</f>
        <v>459.004</v>
      </c>
      <c r="BA20" s="26">
        <f>'3. Earnings Build'!CF476</f>
        <v>144.792</v>
      </c>
      <c r="BB20" s="26">
        <f>'3. Earnings Build'!CG476</f>
        <v>158.072</v>
      </c>
      <c r="BC20" s="26">
        <f>'3. Earnings Build'!CH476</f>
        <v>156.736</v>
      </c>
      <c r="BD20" s="26">
        <f>'3. Earnings Build'!CI476</f>
        <v>197.576</v>
      </c>
      <c r="BE20" s="27">
        <f>'3. Earnings Build'!CJ476</f>
        <v>657.176</v>
      </c>
      <c r="BF20" s="26">
        <f>'3. Earnings Build'!CK476</f>
        <v>160.606</v>
      </c>
      <c r="BG20" s="26">
        <f>'3. Earnings Build'!CL476</f>
        <v>189.826</v>
      </c>
      <c r="BH20" s="26">
        <f>'3. Earnings Build'!CM476</f>
        <v>186.478</v>
      </c>
      <c r="BI20" s="26">
        <f>'3. Earnings Build'!CN476</f>
        <v>225.69</v>
      </c>
      <c r="BJ20" s="27">
        <f>'3. Earnings Build'!CO476</f>
        <v>762.6</v>
      </c>
      <c r="BK20" s="26">
        <f>'3. Earnings Build'!CP476</f>
        <v>207.763</v>
      </c>
      <c r="BL20" s="26">
        <f>'3. Earnings Build'!CQ476</f>
        <v>218.553</v>
      </c>
      <c r="BM20" s="26">
        <f>'3. Earnings Build'!CR476</f>
        <v>222.118</v>
      </c>
      <c r="BN20" s="26">
        <f>'3. Earnings Build'!CS476</f>
        <v>248.778</v>
      </c>
      <c r="BO20" s="27">
        <f>'3. Earnings Build'!CT476</f>
        <v>897.212</v>
      </c>
      <c r="BP20" s="26"/>
      <c r="BQ20" s="26"/>
      <c r="BR20" s="26"/>
      <c r="BS20" s="26"/>
      <c r="BT20" s="27"/>
      <c r="BU20" s="26"/>
      <c r="BV20" s="26"/>
      <c r="BW20" s="26"/>
      <c r="BX20" s="26"/>
      <c r="BY20" s="27"/>
      <c r="BZ20" s="26"/>
      <c r="CA20" s="26"/>
      <c r="CB20" s="26"/>
      <c r="CC20" s="26"/>
      <c r="CD20" s="27"/>
      <c r="CE20" s="26"/>
      <c r="CF20" s="26"/>
      <c r="CG20" s="26"/>
      <c r="CH20" s="26"/>
      <c r="CI20" s="27"/>
      <c r="CJ20" s="26"/>
      <c r="CK20" s="26"/>
      <c r="CL20" s="26"/>
      <c r="CM20" s="26"/>
      <c r="CN20" s="27"/>
    </row>
    <row r="21" s="2" customFormat="1" ht="15" hidden="1" customHeight="1" outlineLevel="1" spans="2:92">
      <c r="B21" s="32" t="s">
        <v>359</v>
      </c>
      <c r="C21" s="29">
        <f>'3. Earnings Build'!AH477</f>
        <v>0.212646439044516</v>
      </c>
      <c r="D21" s="29">
        <f>'3. Earnings Build'!AI477</f>
        <v>0.173531193216233</v>
      </c>
      <c r="E21" s="29">
        <f>'3. Earnings Build'!AJ477</f>
        <v>-0.151041666666667</v>
      </c>
      <c r="F21" s="29">
        <f>'3. Earnings Build'!AK477</f>
        <v>0.608407133729652</v>
      </c>
      <c r="G21" s="30">
        <f>'3. Earnings Build'!AL477</f>
        <v>0.206767199339785</v>
      </c>
      <c r="H21" s="29">
        <f>'3. Earnings Build'!AM477</f>
        <v>0.12174540717499</v>
      </c>
      <c r="I21" s="29">
        <f>'3. Earnings Build'!AN477</f>
        <v>0.0256774193548386</v>
      </c>
      <c r="J21" s="29">
        <f>'3. Earnings Build'!AO477</f>
        <v>0.188282208588957</v>
      </c>
      <c r="K21" s="29">
        <f>'3. Earnings Build'!AP477</f>
        <v>0.00840353550915163</v>
      </c>
      <c r="L21" s="30">
        <f>'3. Earnings Build'!AQ477</f>
        <v>0.0740078748316237</v>
      </c>
      <c r="M21" s="29">
        <f>'3. Earnings Build'!AR477</f>
        <v>0.216444588885278</v>
      </c>
      <c r="N21" s="29">
        <f>'3. Earnings Build'!AS477</f>
        <v>0.343628129324443</v>
      </c>
      <c r="O21" s="29">
        <f>'3. Earnings Build'!AT477</f>
        <v>0.408436160875626</v>
      </c>
      <c r="P21" s="29">
        <f>'3. Earnings Build'!AU477</f>
        <v>-0.040626177508307</v>
      </c>
      <c r="Q21" s="30">
        <f>'3. Earnings Build'!AV477</f>
        <v>0.195171365861894</v>
      </c>
      <c r="R21" s="29">
        <f>'3. Earnings Build'!AW477</f>
        <v>0.360005343307507</v>
      </c>
      <c r="S21" s="29">
        <f>'3. Earnings Build'!AX477</f>
        <v>0.553625766583961</v>
      </c>
      <c r="T21" s="29">
        <f>'3. Earnings Build'!AY477</f>
        <v>0.17958211143695</v>
      </c>
      <c r="U21" s="29">
        <f>'3. Earnings Build'!AZ477</f>
        <v>0.13896525868533</v>
      </c>
      <c r="V21" s="30">
        <f>'3. Earnings Build'!BA477</f>
        <v>0.289609105402297</v>
      </c>
      <c r="W21" s="29">
        <f>'3. Earnings Build'!BB477</f>
        <v>-0.154830894149232</v>
      </c>
      <c r="X21" s="29">
        <f>'3. Earnings Build'!BC477</f>
        <v>-0.066140356163558</v>
      </c>
      <c r="Y21" s="29">
        <f>'3. Earnings Build'!BD477</f>
        <v>0.148699462382299</v>
      </c>
      <c r="Z21" s="29">
        <f>'3. Earnings Build'!BE477</f>
        <v>0.533120160506599</v>
      </c>
      <c r="AA21" s="30">
        <f>'3. Earnings Build'!BF477</f>
        <v>0.116322921882824</v>
      </c>
      <c r="AB21" s="29">
        <f>'3. Earnings Build'!BG477</f>
        <v>0.520337801193151</v>
      </c>
      <c r="AC21" s="29">
        <f>'3. Earnings Build'!BH477</f>
        <v>0.475606608156944</v>
      </c>
      <c r="AD21" s="29">
        <f>'3. Earnings Build'!BI477</f>
        <v>0.268720917649605</v>
      </c>
      <c r="AE21" s="29">
        <f>'3. Earnings Build'!BJ477</f>
        <v>0.122032512013086</v>
      </c>
      <c r="AF21" s="30">
        <f>'3. Earnings Build'!BK477</f>
        <v>0.308904853688453</v>
      </c>
      <c r="AG21" s="29">
        <f>'3. Earnings Build'!BL477</f>
        <v>0.12075115935382</v>
      </c>
      <c r="AH21" s="29">
        <f>'3. Earnings Build'!BM477</f>
        <v>0.18212630105834</v>
      </c>
      <c r="AI21" s="29">
        <f>'3. Earnings Build'!BN477</f>
        <v>0.33810265048937</v>
      </c>
      <c r="AJ21" s="29">
        <f>'3. Earnings Build'!BO477</f>
        <v>0.34383029905418</v>
      </c>
      <c r="AK21" s="30">
        <f>'3. Earnings Build'!BP477</f>
        <v>0.25591170989783</v>
      </c>
      <c r="AL21" s="29">
        <f>'3. Earnings Build'!BQ477</f>
        <v>0.335000568375583</v>
      </c>
      <c r="AM21" s="29">
        <f>'3. Earnings Build'!BR477</f>
        <v>0.289284326963985</v>
      </c>
      <c r="AN21" s="29">
        <f>'3. Earnings Build'!BS477</f>
        <v>0.297196946759517</v>
      </c>
      <c r="AO21" s="29">
        <f>'3. Earnings Build'!BT477</f>
        <v>0.264944399240575</v>
      </c>
      <c r="AP21" s="30">
        <f>'3. Earnings Build'!BU477</f>
        <v>0.292322385616038</v>
      </c>
      <c r="AQ21" s="29">
        <f>'3. Earnings Build'!BV477</f>
        <v>0.124812670299728</v>
      </c>
      <c r="AR21" s="29">
        <f>'3. Earnings Build'!BW477</f>
        <v>0.175896700143472</v>
      </c>
      <c r="AS21" s="29">
        <f>'3. Earnings Build'!BX477</f>
        <v>0.10438190238689</v>
      </c>
      <c r="AT21" s="29">
        <f>'3. Earnings Build'!BY477</f>
        <v>0.0988775367989967</v>
      </c>
      <c r="AU21" s="30">
        <f>'3. Earnings Build'!BZ477</f>
        <v>0.123091388980534</v>
      </c>
      <c r="AV21" s="29">
        <f>'3. Earnings Build'!CA477</f>
        <v>-0.395100607125013</v>
      </c>
      <c r="AW21" s="29">
        <f>'3. Earnings Build'!CB477</f>
        <v>-0.250378233284529</v>
      </c>
      <c r="AX21" s="29">
        <f>'3. Earnings Build'!CC477</f>
        <v>0.417208008898776</v>
      </c>
      <c r="AY21" s="29">
        <f>'3. Earnings Build'!CD477</f>
        <v>1.24590243902439</v>
      </c>
      <c r="AZ21" s="30">
        <f>'3. Earnings Build'!CE477</f>
        <v>0.34838973117632</v>
      </c>
      <c r="BA21" s="29">
        <f>'3. Earnings Build'!CF477</f>
        <v>2.62405826846545</v>
      </c>
      <c r="BB21" s="29">
        <f>'3. Earnings Build'!CG477</f>
        <v>1.5728283337945</v>
      </c>
      <c r="BC21" s="29">
        <f>'3. Earnings Build'!CH477</f>
        <v>0.230199282613985</v>
      </c>
      <c r="BD21" s="29">
        <f>'3. Earnings Build'!CI477</f>
        <v>-0.141738884906931</v>
      </c>
      <c r="BE21" s="30">
        <f>'3. Earnings Build'!CJ477</f>
        <v>0.431743514217741</v>
      </c>
      <c r="BF21" s="29">
        <f>'3. Earnings Build'!CK477</f>
        <v>0.109218741366926</v>
      </c>
      <c r="BG21" s="29">
        <f>'3. Earnings Build'!CL477</f>
        <v>0.200883141859406</v>
      </c>
      <c r="BH21" s="29">
        <f>'3. Earnings Build'!CM477</f>
        <v>0.189758574928542</v>
      </c>
      <c r="BI21" s="29">
        <f>'3. Earnings Build'!CN477</f>
        <v>0.14229461068146</v>
      </c>
      <c r="BJ21" s="30">
        <f>'3. Earnings Build'!CO477</f>
        <v>0.160419735352478</v>
      </c>
      <c r="BK21" s="29">
        <f>'3. Earnings Build'!CP477</f>
        <v>0.293619167403459</v>
      </c>
      <c r="BL21" s="29">
        <f>'3. Earnings Build'!CQ477</f>
        <v>0.151333326309357</v>
      </c>
      <c r="BM21" s="29">
        <f>'3. Earnings Build'!CR477</f>
        <v>0.191121740902412</v>
      </c>
      <c r="BN21" s="29">
        <f>'3. Earnings Build'!CS477</f>
        <v>0.102299614515486</v>
      </c>
      <c r="BO21" s="30">
        <f>'3. Earnings Build'!CT477</f>
        <v>0.176517178075006</v>
      </c>
      <c r="BP21" s="29"/>
      <c r="BQ21" s="29"/>
      <c r="BR21" s="29"/>
      <c r="BS21" s="29"/>
      <c r="BT21" s="30"/>
      <c r="BU21" s="29"/>
      <c r="BV21" s="29"/>
      <c r="BW21" s="29"/>
      <c r="BX21" s="29"/>
      <c r="BY21" s="30"/>
      <c r="BZ21" s="29"/>
      <c r="CA21" s="29"/>
      <c r="CB21" s="29"/>
      <c r="CC21" s="29"/>
      <c r="CD21" s="30"/>
      <c r="CE21" s="29"/>
      <c r="CF21" s="29"/>
      <c r="CG21" s="29"/>
      <c r="CH21" s="29"/>
      <c r="CI21" s="30"/>
      <c r="CJ21" s="29"/>
      <c r="CK21" s="29"/>
      <c r="CL21" s="29"/>
      <c r="CM21" s="29"/>
      <c r="CN21" s="30"/>
    </row>
    <row r="22" s="2" customFormat="1" ht="15" customHeight="1" collapsed="1" spans="2:92">
      <c r="B22" s="33" t="s">
        <v>57</v>
      </c>
      <c r="C22" s="34"/>
      <c r="D22" s="34"/>
      <c r="E22" s="34"/>
      <c r="F22" s="34"/>
      <c r="G22" s="35"/>
      <c r="H22" s="34"/>
      <c r="I22" s="34"/>
      <c r="J22" s="34"/>
      <c r="K22" s="34"/>
      <c r="L22" s="35"/>
      <c r="M22" s="34"/>
      <c r="N22" s="34"/>
      <c r="O22" s="34"/>
      <c r="P22" s="34"/>
      <c r="Q22" s="35"/>
      <c r="R22" s="34"/>
      <c r="S22" s="34"/>
      <c r="T22" s="34"/>
      <c r="U22" s="34"/>
      <c r="V22" s="35"/>
      <c r="W22" s="34"/>
      <c r="X22" s="34"/>
      <c r="Y22" s="34"/>
      <c r="Z22" s="34"/>
      <c r="AA22" s="35"/>
      <c r="AB22" s="34"/>
      <c r="AC22" s="34"/>
      <c r="AD22" s="34"/>
      <c r="AE22" s="34"/>
      <c r="AF22" s="35"/>
      <c r="AG22" s="34"/>
      <c r="AH22" s="34"/>
      <c r="AI22" s="34"/>
      <c r="AJ22" s="34"/>
      <c r="AK22" s="35"/>
      <c r="AL22" s="34"/>
      <c r="AM22" s="34"/>
      <c r="AN22" s="34"/>
      <c r="AO22" s="34"/>
      <c r="AP22" s="35"/>
      <c r="AQ22" s="34"/>
      <c r="AR22" s="34"/>
      <c r="AS22" s="34"/>
      <c r="AT22" s="34"/>
      <c r="AU22" s="35"/>
      <c r="AV22" s="34"/>
      <c r="AW22" s="34"/>
      <c r="AX22" s="34"/>
      <c r="AY22" s="34"/>
      <c r="AZ22" s="35"/>
      <c r="BA22" s="34"/>
      <c r="BB22" s="34"/>
      <c r="BC22" s="34"/>
      <c r="BD22" s="34"/>
      <c r="BE22" s="35"/>
      <c r="BF22" s="36"/>
      <c r="BG22" s="36"/>
      <c r="BH22" s="36"/>
      <c r="BI22" s="36"/>
      <c r="BJ22" s="37">
        <f>'3. Earnings Build'!CO173</f>
        <v>6817.454</v>
      </c>
      <c r="BK22" s="36">
        <f>'3. Earnings Build'!CP173</f>
        <v>1567.738</v>
      </c>
      <c r="BL22" s="36">
        <f>'3. Earnings Build'!CQ173</f>
        <v>1719.773</v>
      </c>
      <c r="BM22" s="36">
        <f>'3. Earnings Build'!CR173</f>
        <v>1732.398</v>
      </c>
      <c r="BN22" s="36">
        <f>'3. Earnings Build'!CS173</f>
        <v>2611.738</v>
      </c>
      <c r="BO22" s="37">
        <f>'3. Earnings Build'!CT173</f>
        <v>7631.647</v>
      </c>
      <c r="BP22" s="36">
        <f>'3. Earnings Build'!CU173</f>
        <v>1622.264</v>
      </c>
      <c r="BQ22" s="36">
        <f>'3. Earnings Build'!CV173</f>
        <v>1741.433</v>
      </c>
      <c r="BR22" s="36">
        <f>'3. Earnings Build'!CW173</f>
        <v>1770.382</v>
      </c>
      <c r="BS22" s="36">
        <f>'3. Earnings Build'!CX173</f>
        <v>2794.077</v>
      </c>
      <c r="BT22" s="37">
        <f>'3. Earnings Build'!CY173</f>
        <v>7928.156</v>
      </c>
      <c r="BU22" s="36">
        <f>'3. Earnings Build'!CZ173</f>
        <v>1674.558</v>
      </c>
      <c r="BV22" s="36">
        <f>'3. Earnings Build'!DA173</f>
        <v>1758.217</v>
      </c>
      <c r="BW22" s="36">
        <f>'3. Earnings Build'!DB173</f>
        <v>1733.382</v>
      </c>
      <c r="BX22" s="36">
        <f>'3. Earnings Build'!DC173</f>
        <v>2680.887</v>
      </c>
      <c r="BY22" s="37">
        <f>'3. Earnings Build'!DD173</f>
        <v>7847.044</v>
      </c>
      <c r="BZ22" s="36">
        <f>'3. Earnings Build'!DE173</f>
        <v>1621.21</v>
      </c>
      <c r="CA22" s="36">
        <f>'3. Earnings Build'!DF173</f>
        <v>1616.772</v>
      </c>
      <c r="CB22" s="36">
        <f>'3. Earnings Build'!DG173</f>
        <v>1457.74651308858</v>
      </c>
      <c r="CC22" s="36">
        <f>'3. Earnings Build'!DH173</f>
        <v>2287.00683108209</v>
      </c>
      <c r="CD22" s="37">
        <f>'3. Earnings Build'!DI173</f>
        <v>6982.73534417067</v>
      </c>
      <c r="CE22" s="36">
        <f>'3. Earnings Build'!DJ173</f>
        <v>1479.64154918466</v>
      </c>
      <c r="CF22" s="36">
        <f>'3. Earnings Build'!DK173</f>
        <v>1493.17880856044</v>
      </c>
      <c r="CG22" s="36">
        <f>'3. Earnings Build'!DL173</f>
        <v>1386.82066969996</v>
      </c>
      <c r="CH22" s="36">
        <f>'3. Earnings Build'!DM173</f>
        <v>2175.6889522417</v>
      </c>
      <c r="CI22" s="37">
        <f>'3. Earnings Build'!DN173</f>
        <v>6535.32997968676</v>
      </c>
      <c r="CJ22" s="36">
        <f>'3. Earnings Build'!DO173</f>
        <v>1429.22413343467</v>
      </c>
      <c r="CK22" s="36">
        <f>'3. Earnings Build'!DP173</f>
        <v>1442.27289717936</v>
      </c>
      <c r="CL22" s="36">
        <f>'3. Earnings Build'!DQ173</f>
        <v>1339.49064317442</v>
      </c>
      <c r="CM22" s="36">
        <f>'3. Earnings Build'!DR173</f>
        <v>2101.39713436028</v>
      </c>
      <c r="CN22" s="37">
        <f>'3. Earnings Build'!DS173</f>
        <v>6312.38480814872</v>
      </c>
    </row>
    <row r="23" s="2" customFormat="1" ht="15" customHeight="1" spans="2:92">
      <c r="B23" s="38" t="s">
        <v>69</v>
      </c>
      <c r="C23" s="34"/>
      <c r="D23" s="34"/>
      <c r="E23" s="34"/>
      <c r="F23" s="34"/>
      <c r="G23" s="35"/>
      <c r="H23" s="34"/>
      <c r="I23" s="34"/>
      <c r="J23" s="34"/>
      <c r="K23" s="34"/>
      <c r="L23" s="35"/>
      <c r="M23" s="34"/>
      <c r="N23" s="34"/>
      <c r="O23" s="34"/>
      <c r="P23" s="34"/>
      <c r="Q23" s="35"/>
      <c r="R23" s="34"/>
      <c r="S23" s="34"/>
      <c r="T23" s="34"/>
      <c r="U23" s="34"/>
      <c r="V23" s="35"/>
      <c r="W23" s="34"/>
      <c r="X23" s="34"/>
      <c r="Y23" s="34"/>
      <c r="Z23" s="34"/>
      <c r="AA23" s="35"/>
      <c r="AB23" s="34"/>
      <c r="AC23" s="34"/>
      <c r="AD23" s="34"/>
      <c r="AE23" s="34"/>
      <c r="AF23" s="35"/>
      <c r="AG23" s="34"/>
      <c r="AH23" s="34"/>
      <c r="AI23" s="34"/>
      <c r="AJ23" s="34"/>
      <c r="AK23" s="35"/>
      <c r="AL23" s="34"/>
      <c r="AM23" s="34"/>
      <c r="AN23" s="34"/>
      <c r="AO23" s="34"/>
      <c r="AP23" s="35"/>
      <c r="AQ23" s="34"/>
      <c r="AR23" s="34"/>
      <c r="AS23" s="34"/>
      <c r="AT23" s="34"/>
      <c r="AU23" s="35"/>
      <c r="AV23" s="34"/>
      <c r="AW23" s="34"/>
      <c r="AX23" s="34"/>
      <c r="AY23" s="34"/>
      <c r="AZ23" s="35"/>
      <c r="BA23" s="34"/>
      <c r="BB23" s="34"/>
      <c r="BC23" s="34"/>
      <c r="BD23" s="34"/>
      <c r="BE23" s="35"/>
      <c r="BF23" s="34"/>
      <c r="BG23" s="34"/>
      <c r="BH23" s="34"/>
      <c r="BI23" s="34"/>
      <c r="BJ23" s="35">
        <f>'3. Earnings Build'!CO174</f>
        <v>0.286334889713138</v>
      </c>
      <c r="BK23" s="34">
        <f>'3. Earnings Build'!CP174</f>
        <v>0.167103038622826</v>
      </c>
      <c r="BL23" s="34">
        <f>'3. Earnings Build'!CQ174</f>
        <v>0.111694827932821</v>
      </c>
      <c r="BM23" s="34">
        <f>'3. Earnings Build'!CR174</f>
        <v>0.124689109836497</v>
      </c>
      <c r="BN23" s="34">
        <f>'3. Earnings Build'!CS174</f>
        <v>0.0942136184607161</v>
      </c>
      <c r="BO23" s="35">
        <f>'3. Earnings Build'!CT174</f>
        <v>0.119427721844548</v>
      </c>
      <c r="BP23" s="34">
        <f>'3. Earnings Build'!CU174</f>
        <v>0.0347800461556713</v>
      </c>
      <c r="BQ23" s="34">
        <f>'3. Earnings Build'!CV174</f>
        <v>0.0125946854613952</v>
      </c>
      <c r="BR23" s="34">
        <f>'3. Earnings Build'!CW174</f>
        <v>0.02192567758679</v>
      </c>
      <c r="BS23" s="34">
        <f>'3. Earnings Build'!CX174</f>
        <v>0.0698151958580835</v>
      </c>
      <c r="BT23" s="35">
        <f>'3. Earnings Build'!CY174</f>
        <v>0.038852556990647</v>
      </c>
      <c r="BU23" s="34">
        <f>'3. Earnings Build'!CZ174</f>
        <v>0.032235197230537</v>
      </c>
      <c r="BV23" s="34">
        <f>'3. Earnings Build'!DA174</f>
        <v>0.00963803947668396</v>
      </c>
      <c r="BW23" s="34">
        <f>'3. Earnings Build'!DB174</f>
        <v>-0.0208994443007215</v>
      </c>
      <c r="BX23" s="34">
        <f>'3. Earnings Build'!DC174</f>
        <v>-0.0405106945871569</v>
      </c>
      <c r="BY23" s="35">
        <f>'3. Earnings Build'!DD174</f>
        <v>-0.0102308784035027</v>
      </c>
      <c r="BZ23" s="34">
        <f>'3. Earnings Build'!DE174</f>
        <v>-0.0318579589360296</v>
      </c>
      <c r="CA23" s="34">
        <f>'3. Earnings Build'!DF174</f>
        <v>-0.08044797655807</v>
      </c>
      <c r="CB23" s="34">
        <f>'3. Earnings Build'!DG174</f>
        <v>-0.159016008537887</v>
      </c>
      <c r="CC23" s="34">
        <f>'3. Earnings Build'!DH174</f>
        <v>-0.146921585623679</v>
      </c>
      <c r="CD23" s="35">
        <f>'3. Earnings Build'!DI174</f>
        <v>-0.110144489546551</v>
      </c>
      <c r="CE23" s="34">
        <f>'3. Earnings Build'!DJ174</f>
        <v>-0.0873227100840337</v>
      </c>
      <c r="CF23" s="34">
        <f>'3. Earnings Build'!DK174</f>
        <v>-0.0764444160583942</v>
      </c>
      <c r="CG23" s="34">
        <f>'3. Earnings Build'!DL174</f>
        <v>-0.0486544421487604</v>
      </c>
      <c r="CH23" s="34">
        <f>'3. Earnings Build'!DM174</f>
        <v>-0.0486740473738415</v>
      </c>
      <c r="CI23" s="35">
        <f>'3. Earnings Build'!DN174</f>
        <v>-0.0640730805954742</v>
      </c>
      <c r="CJ23" s="34">
        <f>'3. Earnings Build'!DO174</f>
        <v>-0.034074074074074</v>
      </c>
      <c r="CK23" s="34">
        <f>'3. Earnings Build'!DP174</f>
        <v>-0.0340923076923076</v>
      </c>
      <c r="CL23" s="34">
        <f>'3. Earnings Build'!DQ174</f>
        <v>-0.0341284403669725</v>
      </c>
      <c r="CM23" s="34">
        <f>'3. Earnings Build'!DR174</f>
        <v>-0.0341463414634146</v>
      </c>
      <c r="CN23" s="35">
        <f>'3. Earnings Build'!DS174</f>
        <v>-0.0341138354499311</v>
      </c>
    </row>
    <row r="24" s="2" customFormat="1" ht="15" customHeight="1" spans="2:92">
      <c r="B24" s="38" t="s">
        <v>491</v>
      </c>
      <c r="C24" s="34"/>
      <c r="D24" s="34"/>
      <c r="E24" s="34"/>
      <c r="F24" s="34"/>
      <c r="G24" s="35"/>
      <c r="H24" s="34"/>
      <c r="I24" s="34"/>
      <c r="J24" s="34"/>
      <c r="K24" s="34"/>
      <c r="L24" s="35"/>
      <c r="M24" s="34"/>
      <c r="N24" s="34"/>
      <c r="O24" s="34"/>
      <c r="P24" s="34"/>
      <c r="Q24" s="35"/>
      <c r="R24" s="34"/>
      <c r="S24" s="34"/>
      <c r="T24" s="34"/>
      <c r="U24" s="34"/>
      <c r="V24" s="35"/>
      <c r="W24" s="34"/>
      <c r="X24" s="34"/>
      <c r="Y24" s="34"/>
      <c r="Z24" s="34"/>
      <c r="AA24" s="35"/>
      <c r="AB24" s="34"/>
      <c r="AC24" s="34"/>
      <c r="AD24" s="34"/>
      <c r="AE24" s="34"/>
      <c r="AF24" s="35"/>
      <c r="AG24" s="34"/>
      <c r="AH24" s="34"/>
      <c r="AI24" s="34"/>
      <c r="AJ24" s="34"/>
      <c r="AK24" s="35"/>
      <c r="AL24" s="34"/>
      <c r="AM24" s="34"/>
      <c r="AN24" s="34"/>
      <c r="AO24" s="34"/>
      <c r="AP24" s="35"/>
      <c r="AQ24" s="34"/>
      <c r="AR24" s="34"/>
      <c r="AS24" s="34"/>
      <c r="AT24" s="34"/>
      <c r="AU24" s="35"/>
      <c r="AV24" s="34"/>
      <c r="AW24" s="34"/>
      <c r="AX24" s="34"/>
      <c r="AY24" s="34"/>
      <c r="AZ24" s="35"/>
      <c r="BA24" s="34"/>
      <c r="BB24" s="34"/>
      <c r="BC24" s="34"/>
      <c r="BD24" s="34"/>
      <c r="BE24" s="35"/>
      <c r="BF24" s="34"/>
      <c r="BG24" s="34"/>
      <c r="BH24" s="34"/>
      <c r="BI24" s="34"/>
      <c r="BJ24" s="35">
        <f>'3. Earnings Build'!CO175</f>
        <v>0.3</v>
      </c>
      <c r="BK24" s="34" t="str">
        <f>'3. Earnings Build'!CP175</f>
        <v>--</v>
      </c>
      <c r="BL24" s="34" t="str">
        <f>'3. Earnings Build'!CQ175</f>
        <v>--</v>
      </c>
      <c r="BM24" s="34" t="str">
        <f>'3. Earnings Build'!CR175</f>
        <v>--</v>
      </c>
      <c r="BN24" s="34" t="str">
        <f>'3. Earnings Build'!CS175</f>
        <v>--</v>
      </c>
      <c r="BO24" s="35">
        <f>'3. Earnings Build'!CT175</f>
        <v>0.12</v>
      </c>
      <c r="BP24" s="34">
        <f>'3. Earnings Build'!CU175</f>
        <v>0.04</v>
      </c>
      <c r="BQ24" s="34">
        <f>'3. Earnings Build'!CV175</f>
        <v>0.02</v>
      </c>
      <c r="BR24" s="34">
        <f>'3. Earnings Build'!CW175</f>
        <v>0.02</v>
      </c>
      <c r="BS24" s="34">
        <f>'3. Earnings Build'!CX175</f>
        <v>0.08</v>
      </c>
      <c r="BT24" s="35">
        <f>'3. Earnings Build'!CY175</f>
        <v>0.04</v>
      </c>
      <c r="BU24" s="34">
        <f>'3. Earnings Build'!CZ175</f>
        <v>0.02</v>
      </c>
      <c r="BV24" s="34">
        <f>'3. Earnings Build'!DA175</f>
        <v>0.01</v>
      </c>
      <c r="BW24" s="34">
        <f>'3. Earnings Build'!DB175</f>
        <v>-0.02</v>
      </c>
      <c r="BX24" s="34">
        <f>'3. Earnings Build'!DC175</f>
        <v>-0.05</v>
      </c>
      <c r="BY24" s="35">
        <f>'3. Earnings Build'!DD175</f>
        <v>-0.01</v>
      </c>
      <c r="BZ24" s="34">
        <f>'3. Earnings Build'!DE175</f>
        <v>-0.04</v>
      </c>
      <c r="CA24" s="34">
        <f>'3. Earnings Build'!DF175</f>
        <v>-0.08</v>
      </c>
      <c r="CB24" s="34">
        <f>'3. Earnings Build'!DG175</f>
        <v>-0.159016008537887</v>
      </c>
      <c r="CC24" s="34">
        <f>'3. Earnings Build'!DH175</f>
        <v>-0.145921585623679</v>
      </c>
      <c r="CD24" s="35">
        <f>'3. Earnings Build'!DI175</f>
        <v>-0.111439982855879</v>
      </c>
      <c r="CE24" s="34">
        <f>'3. Earnings Build'!DJ175</f>
        <v>-0.0853227100840337</v>
      </c>
      <c r="CF24" s="34">
        <f>'3. Earnings Build'!DK175</f>
        <v>-0.0774444160583942</v>
      </c>
      <c r="CG24" s="34">
        <f>'3. Earnings Build'!DL175</f>
        <v>-0.0486544421487604</v>
      </c>
      <c r="CH24" s="34">
        <f>'3. Earnings Build'!DM175</f>
        <v>-0.0486740473738415</v>
      </c>
      <c r="CI24" s="35">
        <f>'3. Earnings Build'!DN175</f>
        <v>-0.0638402709700374</v>
      </c>
      <c r="CJ24" s="34">
        <f>'3. Earnings Build'!DO175</f>
        <v>-0.034074074074074</v>
      </c>
      <c r="CK24" s="34">
        <f>'3. Earnings Build'!DP175</f>
        <v>-0.0340923076923076</v>
      </c>
      <c r="CL24" s="34">
        <f>'3. Earnings Build'!DQ175</f>
        <v>-0.0341284403669725</v>
      </c>
      <c r="CM24" s="34">
        <f>'3. Earnings Build'!DR175</f>
        <v>-0.0341463414634146</v>
      </c>
      <c r="CN24" s="35">
        <f>'3. Earnings Build'!DS175</f>
        <v>-0.034113835449931</v>
      </c>
    </row>
    <row r="25" s="2" customFormat="1" ht="15" customHeight="1" spans="2:92">
      <c r="B25" s="33" t="s">
        <v>58</v>
      </c>
      <c r="C25" s="34"/>
      <c r="D25" s="34"/>
      <c r="E25" s="34"/>
      <c r="F25" s="34"/>
      <c r="G25" s="35"/>
      <c r="H25" s="34"/>
      <c r="I25" s="34"/>
      <c r="J25" s="34"/>
      <c r="K25" s="34"/>
      <c r="L25" s="35"/>
      <c r="M25" s="34"/>
      <c r="N25" s="34"/>
      <c r="O25" s="34"/>
      <c r="P25" s="34"/>
      <c r="Q25" s="35"/>
      <c r="R25" s="34"/>
      <c r="S25" s="34"/>
      <c r="T25" s="34"/>
      <c r="U25" s="34"/>
      <c r="V25" s="35"/>
      <c r="W25" s="34"/>
      <c r="X25" s="34"/>
      <c r="Y25" s="34"/>
      <c r="Z25" s="34"/>
      <c r="AA25" s="35"/>
      <c r="AB25" s="34"/>
      <c r="AC25" s="34"/>
      <c r="AD25" s="34"/>
      <c r="AE25" s="34"/>
      <c r="AF25" s="35"/>
      <c r="AG25" s="34"/>
      <c r="AH25" s="34"/>
      <c r="AI25" s="34"/>
      <c r="AJ25" s="34"/>
      <c r="AK25" s="35"/>
      <c r="AL25" s="34"/>
      <c r="AM25" s="34"/>
      <c r="AN25" s="34"/>
      <c r="AO25" s="34"/>
      <c r="AP25" s="35"/>
      <c r="AQ25" s="34"/>
      <c r="AR25" s="34"/>
      <c r="AS25" s="34"/>
      <c r="AT25" s="34"/>
      <c r="AU25" s="35"/>
      <c r="AV25" s="34"/>
      <c r="AW25" s="34"/>
      <c r="AX25" s="34"/>
      <c r="AY25" s="34"/>
      <c r="AZ25" s="35"/>
      <c r="BA25" s="34"/>
      <c r="BB25" s="34"/>
      <c r="BC25" s="34"/>
      <c r="BD25" s="34"/>
      <c r="BE25" s="35"/>
      <c r="BF25" s="36"/>
      <c r="BG25" s="36"/>
      <c r="BH25" s="36"/>
      <c r="BI25" s="36"/>
      <c r="BJ25" s="37">
        <f>'3. Earnings Build'!CO236</f>
        <v>576.503</v>
      </c>
      <c r="BK25" s="36">
        <f>'3. Earnings Build'!CP236</f>
        <v>210.068</v>
      </c>
      <c r="BL25" s="36">
        <f>'3. Earnings Build'!CQ236</f>
        <v>234.445</v>
      </c>
      <c r="BM25" s="36">
        <f>'3. Earnings Build'!CR236</f>
        <v>228.595</v>
      </c>
      <c r="BN25" s="36">
        <f>'3. Earnings Build'!CS236</f>
        <v>290.652</v>
      </c>
      <c r="BO25" s="37">
        <f>'3. Earnings Build'!CT236</f>
        <v>963.76</v>
      </c>
      <c r="BP25" s="36">
        <f>'3. Earnings Build'!CU236</f>
        <v>303.786</v>
      </c>
      <c r="BQ25" s="36">
        <f>'3. Earnings Build'!CV236</f>
        <v>314.189</v>
      </c>
      <c r="BR25" s="36">
        <f>'3. Earnings Build'!CW236</f>
        <v>318.338</v>
      </c>
      <c r="BS25" s="36">
        <f>'3. Earnings Build'!CX236</f>
        <v>425.024</v>
      </c>
      <c r="BT25" s="37">
        <f>'3. Earnings Build'!CY236</f>
        <v>1361.337</v>
      </c>
      <c r="BU25" s="36">
        <f>'3. Earnings Build'!CZ236</f>
        <v>368.101</v>
      </c>
      <c r="BV25" s="36">
        <f>'3. Earnings Build'!DA236</f>
        <v>392.898</v>
      </c>
      <c r="BW25" s="36">
        <f>'3. Earnings Build'!DB236</f>
        <v>465.362</v>
      </c>
      <c r="BX25" s="36">
        <f>'3. Earnings Build'!DC236</f>
        <v>528.438</v>
      </c>
      <c r="BY25" s="37">
        <f>'3. Earnings Build'!DD236</f>
        <v>1754.799</v>
      </c>
      <c r="BZ25" s="36">
        <f>'3. Earnings Build'!DE236</f>
        <v>478.395</v>
      </c>
      <c r="CA25" s="36">
        <f>'3. Earnings Build'!DF236</f>
        <v>407.095</v>
      </c>
      <c r="CB25" s="36">
        <f>'3. Earnings Build'!DG236</f>
        <v>478.957182418417</v>
      </c>
      <c r="CC25" s="36">
        <f>'3. Earnings Build'!DH236</f>
        <v>537.218951537724</v>
      </c>
      <c r="CD25" s="37">
        <f>'3. Earnings Build'!DI236</f>
        <v>1901.66613395614</v>
      </c>
      <c r="CE25" s="36">
        <f>'3. Earnings Build'!DJ236</f>
        <v>498.594861412174</v>
      </c>
      <c r="CF25" s="36">
        <f>'3. Earnings Build'!DK236</f>
        <v>428.331521289553</v>
      </c>
      <c r="CG25" s="36">
        <f>'3. Earnings Build'!DL236</f>
        <v>513.995261368857</v>
      </c>
      <c r="CH25" s="36">
        <f>'3. Earnings Build'!DM236</f>
        <v>573.140024135138</v>
      </c>
      <c r="CI25" s="37">
        <f>'3. Earnings Build'!DN236</f>
        <v>2014.06166820572</v>
      </c>
      <c r="CJ25" s="36">
        <f>'3. Earnings Build'!DO236</f>
        <v>541.797645709735</v>
      </c>
      <c r="CK25" s="36">
        <f>'3. Earnings Build'!DP236</f>
        <v>465.185879267175</v>
      </c>
      <c r="CL25" s="36">
        <f>'3. Earnings Build'!DQ236</f>
        <v>557.737307081268</v>
      </c>
      <c r="CM25" s="36">
        <f>'3. Earnings Build'!DR236</f>
        <v>621.147594473587</v>
      </c>
      <c r="CN25" s="37">
        <f>'3. Earnings Build'!DS236</f>
        <v>2185.86842653177</v>
      </c>
    </row>
    <row r="26" s="2" customFormat="1" ht="15" customHeight="1" spans="2:92">
      <c r="B26" s="38" t="s">
        <v>69</v>
      </c>
      <c r="C26" s="34"/>
      <c r="D26" s="34"/>
      <c r="E26" s="34"/>
      <c r="F26" s="34"/>
      <c r="G26" s="35"/>
      <c r="H26" s="34"/>
      <c r="I26" s="34"/>
      <c r="J26" s="34"/>
      <c r="K26" s="34"/>
      <c r="L26" s="35"/>
      <c r="M26" s="34"/>
      <c r="N26" s="34"/>
      <c r="O26" s="34"/>
      <c r="P26" s="34"/>
      <c r="Q26" s="35"/>
      <c r="R26" s="34"/>
      <c r="S26" s="34"/>
      <c r="T26" s="34"/>
      <c r="U26" s="34"/>
      <c r="V26" s="35"/>
      <c r="W26" s="34"/>
      <c r="X26" s="34"/>
      <c r="Y26" s="34"/>
      <c r="Z26" s="34"/>
      <c r="AA26" s="35"/>
      <c r="AB26" s="34"/>
      <c r="AC26" s="34"/>
      <c r="AD26" s="34"/>
      <c r="AE26" s="34"/>
      <c r="AF26" s="35"/>
      <c r="AG26" s="34"/>
      <c r="AH26" s="34"/>
      <c r="AI26" s="34"/>
      <c r="AJ26" s="34"/>
      <c r="AK26" s="35"/>
      <c r="AL26" s="34"/>
      <c r="AM26" s="34"/>
      <c r="AN26" s="34"/>
      <c r="AO26" s="34"/>
      <c r="AP26" s="35"/>
      <c r="AQ26" s="34"/>
      <c r="AR26" s="34"/>
      <c r="AS26" s="34"/>
      <c r="AT26" s="34"/>
      <c r="AU26" s="35"/>
      <c r="AV26" s="34"/>
      <c r="AW26" s="34"/>
      <c r="AX26" s="34"/>
      <c r="AY26" s="34"/>
      <c r="AZ26" s="35"/>
      <c r="BA26" s="34"/>
      <c r="BB26" s="34"/>
      <c r="BC26" s="34"/>
      <c r="BD26" s="34"/>
      <c r="BE26" s="35"/>
      <c r="BF26" s="34"/>
      <c r="BG26" s="34"/>
      <c r="BH26" s="34"/>
      <c r="BI26" s="34"/>
      <c r="BJ26" s="35">
        <f>'3. Earnings Build'!CO237</f>
        <v>0.327549561208582</v>
      </c>
      <c r="BK26" s="34" t="str">
        <f>'3. Earnings Build'!CP237</f>
        <v>--</v>
      </c>
      <c r="BL26" s="34" t="str">
        <f>'3. Earnings Build'!CQ237</f>
        <v>--</v>
      </c>
      <c r="BM26" s="34" t="str">
        <f>'3. Earnings Build'!CR237</f>
        <v>--</v>
      </c>
      <c r="BN26" s="34" t="str">
        <f>'3. Earnings Build'!CS237</f>
        <v>--</v>
      </c>
      <c r="BO26" s="35">
        <f>'3. Earnings Build'!CT237</f>
        <v>0.671734579004793</v>
      </c>
      <c r="BP26" s="34">
        <f>'3. Earnings Build'!CU237</f>
        <v>0.44613172877354</v>
      </c>
      <c r="BQ26" s="34">
        <f>'3. Earnings Build'!CV237</f>
        <v>0.340139478342468</v>
      </c>
      <c r="BR26" s="34">
        <f>'3. Earnings Build'!CW237</f>
        <v>0.392585139657473</v>
      </c>
      <c r="BS26" s="34">
        <f>'3. Earnings Build'!CX237</f>
        <v>0.462312318511484</v>
      </c>
      <c r="BT26" s="35">
        <f>'3. Earnings Build'!CY237</f>
        <v>0.412526977670789</v>
      </c>
      <c r="BU26" s="34">
        <f>'3. Earnings Build'!CZ237</f>
        <v>0.211711533777067</v>
      </c>
      <c r="BV26" s="34">
        <f>'3. Earnings Build'!DA237</f>
        <v>0.250514817514299</v>
      </c>
      <c r="BW26" s="34">
        <f>'3. Earnings Build'!DB237</f>
        <v>0.461848726824947</v>
      </c>
      <c r="BX26" s="34">
        <f>'3. Earnings Build'!DC237</f>
        <v>0.243313318777293</v>
      </c>
      <c r="BY26" s="35">
        <f>'3. Earnings Build'!DD237</f>
        <v>0.289026155904085</v>
      </c>
      <c r="BZ26" s="34">
        <f>'3. Earnings Build'!DE237</f>
        <v>0.299629721190651</v>
      </c>
      <c r="CA26" s="34">
        <f>'3. Earnings Build'!DF237</f>
        <v>0.0361340602395532</v>
      </c>
      <c r="CB26" s="34">
        <f>'3. Earnings Build'!DG237</f>
        <v>0.0292142083333333</v>
      </c>
      <c r="CC26" s="34">
        <f>'3. Earnings Build'!DH237</f>
        <v>0.0166168056379823</v>
      </c>
      <c r="CD26" s="35">
        <f>'3. Earnings Build'!DI237</f>
        <v>0.0836945621442344</v>
      </c>
      <c r="CE26" s="34">
        <f>'3. Earnings Build'!DJ237</f>
        <v>0.0422242318840578</v>
      </c>
      <c r="CF26" s="34">
        <f>'3. Earnings Build'!DK237</f>
        <v>0.0521660086455329</v>
      </c>
      <c r="CG26" s="34">
        <f>'3. Earnings Build'!DL237</f>
        <v>0.0731549295774649</v>
      </c>
      <c r="CH26" s="34">
        <f>'3. Earnings Build'!DM237</f>
        <v>0.0668648648648649</v>
      </c>
      <c r="CI26" s="35">
        <f>'3. Earnings Build'!DN237</f>
        <v>0.0591037155485117</v>
      </c>
      <c r="CJ26" s="34">
        <f>'3. Earnings Build'!DO237</f>
        <v>0.0866490765171506</v>
      </c>
      <c r="CK26" s="34">
        <f>'3. Earnings Build'!DP237</f>
        <v>0.0860416666666668</v>
      </c>
      <c r="CL26" s="34">
        <f>'3. Earnings Build'!DQ237</f>
        <v>0.0851020408163263</v>
      </c>
      <c r="CM26" s="34">
        <f>'3. Earnings Build'!DR237</f>
        <v>0.0837623762376241</v>
      </c>
      <c r="CN26" s="35">
        <f>'3. Earnings Build'!DS237</f>
        <v>0.0853036235375559</v>
      </c>
    </row>
    <row r="27" s="2" customFormat="1" ht="15" customHeight="1" spans="2:92">
      <c r="B27" s="38" t="s">
        <v>491</v>
      </c>
      <c r="C27" s="34"/>
      <c r="D27" s="34"/>
      <c r="E27" s="34"/>
      <c r="F27" s="34"/>
      <c r="G27" s="35"/>
      <c r="H27" s="34"/>
      <c r="I27" s="34"/>
      <c r="J27" s="34"/>
      <c r="K27" s="34"/>
      <c r="L27" s="35"/>
      <c r="M27" s="34"/>
      <c r="N27" s="34"/>
      <c r="O27" s="34"/>
      <c r="P27" s="34"/>
      <c r="Q27" s="35"/>
      <c r="R27" s="34"/>
      <c r="S27" s="34"/>
      <c r="T27" s="34"/>
      <c r="U27" s="34"/>
      <c r="V27" s="35"/>
      <c r="W27" s="34"/>
      <c r="X27" s="34"/>
      <c r="Y27" s="34"/>
      <c r="Z27" s="34"/>
      <c r="AA27" s="35"/>
      <c r="AB27" s="34"/>
      <c r="AC27" s="34"/>
      <c r="AD27" s="34"/>
      <c r="AE27" s="34"/>
      <c r="AF27" s="35"/>
      <c r="AG27" s="34"/>
      <c r="AH27" s="34"/>
      <c r="AI27" s="34"/>
      <c r="AJ27" s="34"/>
      <c r="AK27" s="35"/>
      <c r="AL27" s="34"/>
      <c r="AM27" s="34"/>
      <c r="AN27" s="34"/>
      <c r="AO27" s="34"/>
      <c r="AP27" s="35"/>
      <c r="AQ27" s="34"/>
      <c r="AR27" s="34"/>
      <c r="AS27" s="34"/>
      <c r="AT27" s="34"/>
      <c r="AU27" s="35"/>
      <c r="AV27" s="34"/>
      <c r="AW27" s="34"/>
      <c r="AX27" s="34"/>
      <c r="AY27" s="34"/>
      <c r="AZ27" s="35"/>
      <c r="BA27" s="34"/>
      <c r="BB27" s="34"/>
      <c r="BC27" s="34"/>
      <c r="BD27" s="34"/>
      <c r="BE27" s="35"/>
      <c r="BF27" s="34"/>
      <c r="BG27" s="34"/>
      <c r="BH27" s="34"/>
      <c r="BI27" s="34"/>
      <c r="BJ27" s="35">
        <f>'3. Earnings Build'!CO238</f>
        <v>0.4</v>
      </c>
      <c r="BK27" s="34" t="str">
        <f>'3. Earnings Build'!CP238</f>
        <v>--</v>
      </c>
      <c r="BL27" s="34" t="str">
        <f>'3. Earnings Build'!CQ238</f>
        <v>--</v>
      </c>
      <c r="BM27" s="34" t="str">
        <f>'3. Earnings Build'!CR238</f>
        <v>--</v>
      </c>
      <c r="BN27" s="34" t="str">
        <f>'3. Earnings Build'!CS238</f>
        <v>--</v>
      </c>
      <c r="BO27" s="35">
        <f>'3. Earnings Build'!CT238</f>
        <v>0.75</v>
      </c>
      <c r="BP27" s="34">
        <f>'3. Earnings Build'!CU238</f>
        <v>0.52</v>
      </c>
      <c r="BQ27" s="34">
        <f>'3. Earnings Build'!CV238</f>
        <v>0.37</v>
      </c>
      <c r="BR27" s="34">
        <f>'3. Earnings Build'!CW238</f>
        <v>0.36</v>
      </c>
      <c r="BS27" s="34">
        <f>'3. Earnings Build'!CX238</f>
        <v>0.48</v>
      </c>
      <c r="BT27" s="35">
        <f>'3. Earnings Build'!CY238</f>
        <v>0.43</v>
      </c>
      <c r="BU27" s="34">
        <f>'3. Earnings Build'!CZ238</f>
        <v>0.22</v>
      </c>
      <c r="BV27" s="34">
        <f>'3. Earnings Build'!DA238</f>
        <v>0.24</v>
      </c>
      <c r="BW27" s="34">
        <f>'3. Earnings Build'!DB238</f>
        <v>0.47</v>
      </c>
      <c r="BX27" s="34">
        <f>'3. Earnings Build'!DC238</f>
        <v>0.21</v>
      </c>
      <c r="BY27" s="35">
        <f>'3. Earnings Build'!DD238</f>
        <v>0.28</v>
      </c>
      <c r="BZ27" s="34">
        <f>'3. Earnings Build'!DE238</f>
        <v>0.23</v>
      </c>
      <c r="CA27" s="34">
        <f>'3. Earnings Build'!DF238</f>
        <v>-0.02</v>
      </c>
      <c r="CB27" s="34">
        <f>'3. Earnings Build'!DG238</f>
        <v>-0.0317857916666667</v>
      </c>
      <c r="CC27" s="34">
        <f>'3. Earnings Build'!DH238</f>
        <v>-0.0303831943620177</v>
      </c>
      <c r="CD27" s="35">
        <f>'3. Earnings Build'!DI238</f>
        <v>0.0261897436436542</v>
      </c>
      <c r="CE27" s="34">
        <f>'3. Earnings Build'!DJ238</f>
        <v>0.0182242318840578</v>
      </c>
      <c r="CF27" s="34">
        <f>'3. Earnings Build'!DK238</f>
        <v>0.0431660086455329</v>
      </c>
      <c r="CG27" s="34">
        <f>'3. Earnings Build'!DL238</f>
        <v>0.0731549295774649</v>
      </c>
      <c r="CH27" s="34">
        <f>'3. Earnings Build'!DM238</f>
        <v>0.0668648648648649</v>
      </c>
      <c r="CI27" s="35">
        <f>'3. Earnings Build'!DN238</f>
        <v>0.0511394705480014</v>
      </c>
      <c r="CJ27" s="34">
        <f>'3. Earnings Build'!DO238</f>
        <v>0.0866490765171506</v>
      </c>
      <c r="CK27" s="34">
        <f>'3. Earnings Build'!DP238</f>
        <v>0.0860416666666668</v>
      </c>
      <c r="CL27" s="34">
        <f>'3. Earnings Build'!DQ238</f>
        <v>0.0851020408163263</v>
      </c>
      <c r="CM27" s="34">
        <f>'3. Earnings Build'!DR238</f>
        <v>0.0837623762376241</v>
      </c>
      <c r="CN27" s="35">
        <f>'3. Earnings Build'!DS238</f>
        <v>0.0853036235375559</v>
      </c>
    </row>
    <row r="28" s="2" customFormat="1" ht="15" customHeight="1" spans="2:92">
      <c r="B28" s="33" t="s">
        <v>59</v>
      </c>
      <c r="C28" s="34"/>
      <c r="D28" s="34"/>
      <c r="E28" s="34"/>
      <c r="F28" s="34"/>
      <c r="G28" s="35"/>
      <c r="H28" s="34"/>
      <c r="I28" s="34"/>
      <c r="J28" s="34"/>
      <c r="K28" s="34"/>
      <c r="L28" s="35"/>
      <c r="M28" s="34"/>
      <c r="N28" s="34"/>
      <c r="O28" s="34"/>
      <c r="P28" s="34"/>
      <c r="Q28" s="35"/>
      <c r="R28" s="34"/>
      <c r="S28" s="34"/>
      <c r="T28" s="34"/>
      <c r="U28" s="34"/>
      <c r="V28" s="35"/>
      <c r="W28" s="34"/>
      <c r="X28" s="34"/>
      <c r="Y28" s="34"/>
      <c r="Z28" s="34"/>
      <c r="AA28" s="35"/>
      <c r="AB28" s="34"/>
      <c r="AC28" s="34"/>
      <c r="AD28" s="34"/>
      <c r="AE28" s="34"/>
      <c r="AF28" s="35"/>
      <c r="AG28" s="34"/>
      <c r="AH28" s="34"/>
      <c r="AI28" s="34"/>
      <c r="AJ28" s="34"/>
      <c r="AK28" s="35"/>
      <c r="AL28" s="34"/>
      <c r="AM28" s="34"/>
      <c r="AN28" s="34"/>
      <c r="AO28" s="34"/>
      <c r="AP28" s="35"/>
      <c r="AQ28" s="34"/>
      <c r="AR28" s="34"/>
      <c r="AS28" s="34"/>
      <c r="AT28" s="34"/>
      <c r="AU28" s="35"/>
      <c r="AV28" s="34"/>
      <c r="AW28" s="34"/>
      <c r="AX28" s="34"/>
      <c r="AY28" s="34"/>
      <c r="AZ28" s="35"/>
      <c r="BA28" s="34"/>
      <c r="BB28" s="34"/>
      <c r="BC28" s="34"/>
      <c r="BD28" s="34"/>
      <c r="BE28" s="35"/>
      <c r="BF28" s="36"/>
      <c r="BG28" s="36"/>
      <c r="BH28" s="36"/>
      <c r="BI28" s="36"/>
      <c r="BJ28" s="37">
        <f>'3. Earnings Build'!CO294</f>
        <v>716.561</v>
      </c>
      <c r="BK28" s="36">
        <f>'3. Earnings Build'!CP294</f>
        <v>222.986</v>
      </c>
      <c r="BL28" s="36">
        <f>'3. Earnings Build'!CQ294</f>
        <v>254.947</v>
      </c>
      <c r="BM28" s="36">
        <f>'3. Earnings Build'!CR294</f>
        <v>243.225</v>
      </c>
      <c r="BN28" s="36">
        <f>'3. Earnings Build'!CS294</f>
        <v>302.713</v>
      </c>
      <c r="BO28" s="37">
        <f>'3. Earnings Build'!CT294</f>
        <v>1023.871</v>
      </c>
      <c r="BP28" s="36">
        <f>'3. Earnings Build'!CU294</f>
        <v>282.841</v>
      </c>
      <c r="BQ28" s="36">
        <f>'3. Earnings Build'!CV294</f>
        <v>315.456</v>
      </c>
      <c r="BR28" s="36">
        <f>'3. Earnings Build'!CW294</f>
        <v>307.94</v>
      </c>
      <c r="BS28" s="36">
        <f>'3. Earnings Build'!CX294</f>
        <v>392.396</v>
      </c>
      <c r="BT28" s="37">
        <f>'3. Earnings Build'!CY294</f>
        <v>1298.633</v>
      </c>
      <c r="BU28" s="36">
        <f>'3. Earnings Build'!CZ294</f>
        <v>328.001</v>
      </c>
      <c r="BV28" s="36">
        <f>'3. Earnings Build'!DA294</f>
        <v>374.104</v>
      </c>
      <c r="BW28" s="36">
        <f>'3. Earnings Build'!DB294</f>
        <v>367.176</v>
      </c>
      <c r="BX28" s="36">
        <f>'3. Earnings Build'!DC294</f>
        <v>431.476</v>
      </c>
      <c r="BY28" s="37">
        <f>'3. Earnings Build'!DD294</f>
        <v>1500.757</v>
      </c>
      <c r="BZ28" s="36">
        <f>'3. Earnings Build'!DE294</f>
        <v>371.998</v>
      </c>
      <c r="CA28" s="36">
        <f>'3. Earnings Build'!DF294</f>
        <v>391.764</v>
      </c>
      <c r="CB28" s="36">
        <f>'3. Earnings Build'!DG294</f>
        <v>378.887648275862</v>
      </c>
      <c r="CC28" s="36">
        <f>'3. Earnings Build'!DH294</f>
        <v>439.551526123457</v>
      </c>
      <c r="CD28" s="37">
        <f>'3. Earnings Build'!DI294</f>
        <v>1582.20117439932</v>
      </c>
      <c r="CE28" s="36">
        <f>'3. Earnings Build'!DJ294</f>
        <v>382.81976</v>
      </c>
      <c r="CF28" s="36">
        <f>'3. Earnings Build'!DK294</f>
        <v>408.187682435821</v>
      </c>
      <c r="CG28" s="36">
        <f>'3. Earnings Build'!DL294</f>
        <v>404.332708382032</v>
      </c>
      <c r="CH28" s="36">
        <f>'3. Earnings Build'!DM294</f>
        <v>472.192105333942</v>
      </c>
      <c r="CI28" s="37">
        <f>'3. Earnings Build'!DN294</f>
        <v>1667.5322561518</v>
      </c>
      <c r="CJ28" s="36">
        <f>'3. Earnings Build'!DO294</f>
        <v>420.97636812538</v>
      </c>
      <c r="CK28" s="36">
        <f>'3. Earnings Build'!DP294</f>
        <v>448.778624996183</v>
      </c>
      <c r="CL28" s="36">
        <f>'3. Earnings Build'!DQ294</f>
        <v>444.356999009458</v>
      </c>
      <c r="CM28" s="36">
        <f>'3. Earnings Build'!DR294</f>
        <v>518.621661273106</v>
      </c>
      <c r="CN28" s="37">
        <f>'3. Earnings Build'!DS294</f>
        <v>1832.73365340413</v>
      </c>
    </row>
    <row r="29" s="2" customFormat="1" ht="15" customHeight="1" spans="2:92">
      <c r="B29" s="38" t="s">
        <v>69</v>
      </c>
      <c r="C29" s="34"/>
      <c r="D29" s="34"/>
      <c r="E29" s="34"/>
      <c r="F29" s="34"/>
      <c r="G29" s="35"/>
      <c r="H29" s="34"/>
      <c r="I29" s="34"/>
      <c r="J29" s="34"/>
      <c r="K29" s="34"/>
      <c r="L29" s="35"/>
      <c r="M29" s="34"/>
      <c r="N29" s="34"/>
      <c r="O29" s="34"/>
      <c r="P29" s="34"/>
      <c r="Q29" s="35"/>
      <c r="R29" s="34"/>
      <c r="S29" s="34"/>
      <c r="T29" s="34"/>
      <c r="U29" s="34"/>
      <c r="V29" s="35"/>
      <c r="W29" s="34"/>
      <c r="X29" s="34"/>
      <c r="Y29" s="34"/>
      <c r="Z29" s="34"/>
      <c r="AA29" s="35"/>
      <c r="AB29" s="34"/>
      <c r="AC29" s="34"/>
      <c r="AD29" s="34"/>
      <c r="AE29" s="34"/>
      <c r="AF29" s="35"/>
      <c r="AG29" s="34"/>
      <c r="AH29" s="34"/>
      <c r="AI29" s="34"/>
      <c r="AJ29" s="34"/>
      <c r="AK29" s="35"/>
      <c r="AL29" s="34"/>
      <c r="AM29" s="34"/>
      <c r="AN29" s="34"/>
      <c r="AO29" s="34"/>
      <c r="AP29" s="35"/>
      <c r="AQ29" s="34"/>
      <c r="AR29" s="34"/>
      <c r="AS29" s="34"/>
      <c r="AT29" s="34"/>
      <c r="AU29" s="35"/>
      <c r="AV29" s="34"/>
      <c r="AW29" s="34"/>
      <c r="AX29" s="34"/>
      <c r="AY29" s="34"/>
      <c r="AZ29" s="35"/>
      <c r="BA29" s="34"/>
      <c r="BB29" s="34"/>
      <c r="BC29" s="34"/>
      <c r="BD29" s="34"/>
      <c r="BE29" s="35"/>
      <c r="BF29" s="34"/>
      <c r="BG29" s="34"/>
      <c r="BH29" s="34"/>
      <c r="BI29" s="34"/>
      <c r="BJ29" s="35">
        <f>'3. Earnings Build'!CO295</f>
        <v>0.37153986027371</v>
      </c>
      <c r="BK29" s="34" t="str">
        <f>'3. Earnings Build'!CP295</f>
        <v>--</v>
      </c>
      <c r="BL29" s="34" t="str">
        <f>'3. Earnings Build'!CQ295</f>
        <v>--</v>
      </c>
      <c r="BM29" s="34" t="str">
        <f>'3. Earnings Build'!CR295</f>
        <v>--</v>
      </c>
      <c r="BN29" s="34" t="str">
        <f>'3. Earnings Build'!CS295</f>
        <v>--</v>
      </c>
      <c r="BO29" s="35">
        <f>'3. Earnings Build'!CT295</f>
        <v>0.428867884241537</v>
      </c>
      <c r="BP29" s="34">
        <f>'3. Earnings Build'!CU295</f>
        <v>0.268424923537801</v>
      </c>
      <c r="BQ29" s="34">
        <f>'3. Earnings Build'!CV295</f>
        <v>0.23733952547</v>
      </c>
      <c r="BR29" s="34">
        <f>'3. Earnings Build'!CW295</f>
        <v>0.266070510843869</v>
      </c>
      <c r="BS29" s="34">
        <f>'3. Earnings Build'!CX295</f>
        <v>0.296264118158124</v>
      </c>
      <c r="BT29" s="35">
        <f>'3. Earnings Build'!CY295</f>
        <v>0.268356072200502</v>
      </c>
      <c r="BU29" s="34">
        <f>'3. Earnings Build'!CZ295</f>
        <v>0.159665677889698</v>
      </c>
      <c r="BV29" s="34">
        <f>'3. Earnings Build'!DA295</f>
        <v>0.185914992899168</v>
      </c>
      <c r="BW29" s="34">
        <f>'3. Earnings Build'!DB295</f>
        <v>0.192362148470481</v>
      </c>
      <c r="BX29" s="34">
        <f>'3. Earnings Build'!DC295</f>
        <v>0.0995932680251583</v>
      </c>
      <c r="BY29" s="35">
        <f>'3. Earnings Build'!DD295</f>
        <v>0.155643665300358</v>
      </c>
      <c r="BZ29" s="34">
        <f>'3. Earnings Build'!DE295</f>
        <v>0.134136786168335</v>
      </c>
      <c r="CA29" s="34">
        <f>'3. Earnings Build'!DF295</f>
        <v>0.0472061245001392</v>
      </c>
      <c r="CB29" s="34">
        <f>'3. Earnings Build'!DG295</f>
        <v>0.0318965517241381</v>
      </c>
      <c r="CC29" s="34">
        <f>'3. Earnings Build'!DH295</f>
        <v>0.0187160493827159</v>
      </c>
      <c r="CD29" s="35">
        <f>'3. Earnings Build'!DI295</f>
        <v>0.0542687286478216</v>
      </c>
      <c r="CE29" s="34">
        <f>'3. Earnings Build'!DJ295</f>
        <v>0.0290909090909091</v>
      </c>
      <c r="CF29" s="34">
        <f>'3. Earnings Build'!DK295</f>
        <v>0.0419223880597015</v>
      </c>
      <c r="CG29" s="34">
        <f>'3. Earnings Build'!DL295</f>
        <v>0.0671572700296736</v>
      </c>
      <c r="CH29" s="34">
        <f>'3. Earnings Build'!DM295</f>
        <v>0.0742588235294119</v>
      </c>
      <c r="CI29" s="35">
        <f>'3. Earnings Build'!DN295</f>
        <v>0.0539318786594076</v>
      </c>
      <c r="CJ29" s="34">
        <f>'3. Earnings Build'!DO295</f>
        <v>0.0996725146198831</v>
      </c>
      <c r="CK29" s="34">
        <f>'3. Earnings Build'!DP295</f>
        <v>0.0994418604651164</v>
      </c>
      <c r="CL29" s="34">
        <f>'3. Earnings Build'!DQ295</f>
        <v>0.0989885057471265</v>
      </c>
      <c r="CM29" s="34">
        <f>'3. Earnings Build'!DR295</f>
        <v>0.0983276836158193</v>
      </c>
      <c r="CN29" s="35">
        <f>'3. Earnings Build'!DS295</f>
        <v>0.0990693862999514</v>
      </c>
    </row>
    <row r="30" s="2" customFormat="1" ht="15" customHeight="1" spans="2:92">
      <c r="B30" s="38" t="s">
        <v>491</v>
      </c>
      <c r="C30" s="34"/>
      <c r="D30" s="34"/>
      <c r="E30" s="34"/>
      <c r="F30" s="34"/>
      <c r="G30" s="35"/>
      <c r="H30" s="34"/>
      <c r="I30" s="34"/>
      <c r="J30" s="34"/>
      <c r="K30" s="34"/>
      <c r="L30" s="35"/>
      <c r="M30" s="34"/>
      <c r="N30" s="34"/>
      <c r="O30" s="34"/>
      <c r="P30" s="34"/>
      <c r="Q30" s="35"/>
      <c r="R30" s="34"/>
      <c r="S30" s="34"/>
      <c r="T30" s="34"/>
      <c r="U30" s="34"/>
      <c r="V30" s="35"/>
      <c r="W30" s="34"/>
      <c r="X30" s="34"/>
      <c r="Y30" s="34"/>
      <c r="Z30" s="34"/>
      <c r="AA30" s="35"/>
      <c r="AB30" s="34"/>
      <c r="AC30" s="34"/>
      <c r="AD30" s="34"/>
      <c r="AE30" s="34"/>
      <c r="AF30" s="35"/>
      <c r="AG30" s="34"/>
      <c r="AH30" s="34"/>
      <c r="AI30" s="34"/>
      <c r="AJ30" s="34"/>
      <c r="AK30" s="35"/>
      <c r="AL30" s="34"/>
      <c r="AM30" s="34"/>
      <c r="AN30" s="34"/>
      <c r="AO30" s="34"/>
      <c r="AP30" s="35"/>
      <c r="AQ30" s="34"/>
      <c r="AR30" s="34"/>
      <c r="AS30" s="34"/>
      <c r="AT30" s="34"/>
      <c r="AU30" s="35"/>
      <c r="AV30" s="34"/>
      <c r="AW30" s="34"/>
      <c r="AX30" s="34"/>
      <c r="AY30" s="34"/>
      <c r="AZ30" s="35"/>
      <c r="BA30" s="34"/>
      <c r="BB30" s="34"/>
      <c r="BC30" s="34"/>
      <c r="BD30" s="34"/>
      <c r="BE30" s="35"/>
      <c r="BF30" s="34"/>
      <c r="BG30" s="34"/>
      <c r="BH30" s="34"/>
      <c r="BI30" s="34"/>
      <c r="BJ30" s="35">
        <f>'3. Earnings Build'!CO296</f>
        <v>0.49</v>
      </c>
      <c r="BK30" s="34" t="str">
        <f>'3. Earnings Build'!CP296</f>
        <v>--</v>
      </c>
      <c r="BL30" s="34" t="str">
        <f>'3. Earnings Build'!CQ296</f>
        <v>--</v>
      </c>
      <c r="BM30" s="34" t="str">
        <f>'3. Earnings Build'!CR296</f>
        <v>--</v>
      </c>
      <c r="BN30" s="34" t="str">
        <f>'3. Earnings Build'!CS296</f>
        <v>--</v>
      </c>
      <c r="BO30" s="35">
        <f>'3. Earnings Build'!CT296</f>
        <v>0.44</v>
      </c>
      <c r="BP30" s="34">
        <f>'3. Earnings Build'!CU296</f>
        <v>0.3</v>
      </c>
      <c r="BQ30" s="34">
        <f>'3. Earnings Build'!CV296</f>
        <v>0.27</v>
      </c>
      <c r="BR30" s="34">
        <f>'3. Earnings Build'!CW296</f>
        <v>0.23</v>
      </c>
      <c r="BS30" s="34">
        <f>'3. Earnings Build'!CX296</f>
        <v>0.33</v>
      </c>
      <c r="BT30" s="35">
        <f>'3. Earnings Build'!CY296</f>
        <v>0.29</v>
      </c>
      <c r="BU30" s="34">
        <f>'3. Earnings Build'!CZ296</f>
        <v>0.17</v>
      </c>
      <c r="BV30" s="34">
        <f>'3. Earnings Build'!DA296</f>
        <v>0.15</v>
      </c>
      <c r="BW30" s="34">
        <f>'3. Earnings Build'!DB296</f>
        <v>0.19</v>
      </c>
      <c r="BX30" s="34">
        <f>'3. Earnings Build'!DC296</f>
        <v>0.06</v>
      </c>
      <c r="BY30" s="35">
        <f>'3. Earnings Build'!DD296</f>
        <v>0.14</v>
      </c>
      <c r="BZ30" s="34">
        <f>'3. Earnings Build'!DE296</f>
        <v>0.09</v>
      </c>
      <c r="CA30" s="34">
        <f>'3. Earnings Build'!DF296</f>
        <v>0.06</v>
      </c>
      <c r="CB30" s="34">
        <f>'3. Earnings Build'!DG296</f>
        <v>0.0318965517241381</v>
      </c>
      <c r="CC30" s="34">
        <f>'3. Earnings Build'!DH296</f>
        <v>0.0187160493827159</v>
      </c>
      <c r="CD30" s="35">
        <f>'3. Earnings Build'!DI296</f>
        <v>0.0478115407086682</v>
      </c>
      <c r="CE30" s="34">
        <f>'3. Earnings Build'!DJ296</f>
        <v>0.0290909090909091</v>
      </c>
      <c r="CF30" s="34">
        <f>'3. Earnings Build'!DK296</f>
        <v>0.0419223880597015</v>
      </c>
      <c r="CG30" s="34">
        <f>'3. Earnings Build'!DL296</f>
        <v>0.0671572700296736</v>
      </c>
      <c r="CH30" s="34">
        <f>'3. Earnings Build'!DM296</f>
        <v>0.0742588235294119</v>
      </c>
      <c r="CI30" s="35">
        <f>'3. Earnings Build'!DN296</f>
        <v>0.0539318786594077</v>
      </c>
      <c r="CJ30" s="34">
        <f>'3. Earnings Build'!DO296</f>
        <v>0.0996725146198831</v>
      </c>
      <c r="CK30" s="34">
        <f>'3. Earnings Build'!DP296</f>
        <v>0.0994418604651164</v>
      </c>
      <c r="CL30" s="34">
        <f>'3. Earnings Build'!DQ296</f>
        <v>0.0989885057471265</v>
      </c>
      <c r="CM30" s="34">
        <f>'3. Earnings Build'!DR296</f>
        <v>0.0983276836158193</v>
      </c>
      <c r="CN30" s="35">
        <f>'3. Earnings Build'!DS296</f>
        <v>0.0990693862999514</v>
      </c>
    </row>
    <row r="31" s="3" customFormat="1" ht="15" customHeight="1" spans="2:92">
      <c r="B31" s="39" t="s">
        <v>492</v>
      </c>
      <c r="C31" s="40">
        <f>'3. Earnings Build'!AH13</f>
        <v>186.78</v>
      </c>
      <c r="D31" s="40">
        <f>'3. Earnings Build'!AI13</f>
        <v>212.323</v>
      </c>
      <c r="E31" s="40">
        <f>'3. Earnings Build'!AJ13</f>
        <v>230.216</v>
      </c>
      <c r="F31" s="40">
        <f>'3. Earnings Build'!AK13</f>
        <v>371.52</v>
      </c>
      <c r="G31" s="41">
        <f>'3. Earnings Build'!AL13</f>
        <v>1000.839</v>
      </c>
      <c r="H31" s="40">
        <f>'3. Earnings Build'!AM13</f>
        <v>285.698</v>
      </c>
      <c r="I31" s="40">
        <f>'3. Earnings Build'!AN13</f>
        <v>282.634</v>
      </c>
      <c r="J31" s="40">
        <f>'3. Earnings Build'!AO13</f>
        <v>316.537</v>
      </c>
      <c r="K31" s="40">
        <f>'3. Earnings Build'!AP13</f>
        <v>485.525</v>
      </c>
      <c r="L31" s="41">
        <f>'3. Earnings Build'!AQ13</f>
        <v>1370.394</v>
      </c>
      <c r="M31" s="40">
        <f>'3. Earnings Build'!AR13</f>
        <v>345.782</v>
      </c>
      <c r="N31" s="40">
        <f>'3. Earnings Build'!AS13</f>
        <v>344.513</v>
      </c>
      <c r="O31" s="40">
        <f>'3. Earnings Build'!AT13</f>
        <v>379.9</v>
      </c>
      <c r="P31" s="40">
        <f>'3. Earnings Build'!AU13</f>
        <v>520.993</v>
      </c>
      <c r="Q31" s="41">
        <f>'3. Earnings Build'!AV13</f>
        <v>1591.188</v>
      </c>
      <c r="R31" s="40">
        <f>'3. Earnings Build'!AW13</f>
        <v>384.618</v>
      </c>
      <c r="S31" s="40">
        <f>'3. Earnings Build'!AX13</f>
        <v>390.727</v>
      </c>
      <c r="T31" s="40">
        <f>'3. Earnings Build'!AY13</f>
        <v>419.396</v>
      </c>
      <c r="U31" s="40">
        <f>'3. Earnings Build'!AZ13</f>
        <v>602.469</v>
      </c>
      <c r="V31" s="41">
        <f>'3. Earnings Build'!BA13</f>
        <v>1797.21</v>
      </c>
      <c r="W31" s="40">
        <f>'3. Earnings Build'!BB13</f>
        <v>423.544</v>
      </c>
      <c r="X31" s="40">
        <f>'3. Earnings Build'!BC13</f>
        <v>453.01</v>
      </c>
      <c r="Y31" s="40">
        <f>'3. Earnings Build'!BD13</f>
        <v>479.693</v>
      </c>
      <c r="Z31" s="40">
        <f>'3. Earnings Build'!BE13</f>
        <v>704.276</v>
      </c>
      <c r="AA31" s="41">
        <f>'3. Earnings Build'!BF13</f>
        <v>2060.523</v>
      </c>
      <c r="AB31" s="40">
        <f>'3. Earnings Build'!BG13</f>
        <v>495.516</v>
      </c>
      <c r="AC31" s="40">
        <f>'3. Earnings Build'!BH13</f>
        <v>514.52</v>
      </c>
      <c r="AD31" s="40">
        <f>'3. Earnings Build'!BI13</f>
        <v>544.416</v>
      </c>
      <c r="AE31" s="40">
        <f>'3. Earnings Build'!BJ13</f>
        <v>789.94</v>
      </c>
      <c r="AF31" s="41">
        <f>'3. Earnings Build'!BK13</f>
        <v>2344.392</v>
      </c>
      <c r="AG31" s="40">
        <f>'3. Earnings Build'!BL13</f>
        <v>520.307</v>
      </c>
      <c r="AH31" s="40">
        <f>'3. Earnings Build'!BM13</f>
        <v>581.054</v>
      </c>
      <c r="AI31" s="40">
        <f>'3. Earnings Build'!BN13</f>
        <v>619.034</v>
      </c>
      <c r="AJ31" s="40">
        <f>'3. Earnings Build'!BO13</f>
        <v>928.78</v>
      </c>
      <c r="AK31" s="41">
        <f>'3. Earnings Build'!BP13</f>
        <v>2649.175</v>
      </c>
      <c r="AL31" s="40">
        <f>'3. Earnings Build'!BQ13</f>
        <v>649.66</v>
      </c>
      <c r="AM31" s="40">
        <f>'3. Earnings Build'!BR13</f>
        <v>723.5</v>
      </c>
      <c r="AN31" s="40">
        <f>'3. Earnings Build'!BS13</f>
        <v>747.655</v>
      </c>
      <c r="AO31" s="40">
        <f>'3. Earnings Build'!BT13</f>
        <v>1167.504</v>
      </c>
      <c r="AP31" s="41">
        <f>'3. Earnings Build'!BU13</f>
        <v>3288.319</v>
      </c>
      <c r="AQ31" s="40">
        <f>'3. Earnings Build'!BV13</f>
        <v>782.315</v>
      </c>
      <c r="AR31" s="40">
        <f>'3. Earnings Build'!BW13</f>
        <v>883.352</v>
      </c>
      <c r="AS31" s="40">
        <f>'3. Earnings Build'!BX13</f>
        <v>916.1</v>
      </c>
      <c r="AT31" s="40">
        <f>'3. Earnings Build'!BY13</f>
        <v>1397.5</v>
      </c>
      <c r="AU31" s="41">
        <f>'3. Earnings Build'!BZ13</f>
        <v>3979.267</v>
      </c>
      <c r="AV31" s="40">
        <f>'3. Earnings Build'!CA13</f>
        <v>651.962</v>
      </c>
      <c r="AW31" s="40">
        <f>'3. Earnings Build'!CB13</f>
        <v>902.939</v>
      </c>
      <c r="AX31" s="40">
        <f>'3. Earnings Build'!CC13</f>
        <v>1117.426</v>
      </c>
      <c r="AY31" s="40">
        <f>'3. Earnings Build'!CD13</f>
        <v>1729.552</v>
      </c>
      <c r="AZ31" s="41">
        <f>'3. Earnings Build'!CE13</f>
        <v>4401.879</v>
      </c>
      <c r="BA31" s="40">
        <f>'3. Earnings Build'!CF13</f>
        <v>1226.476</v>
      </c>
      <c r="BB31" s="40">
        <f>'3. Earnings Build'!CG13</f>
        <v>1450.618</v>
      </c>
      <c r="BC31" s="40">
        <f>'3. Earnings Build'!CH13</f>
        <v>1450.421</v>
      </c>
      <c r="BD31" s="40">
        <f>'3. Earnings Build'!CI13</f>
        <v>2129.102</v>
      </c>
      <c r="BE31" s="41">
        <f>'3. Earnings Build'!CJ13</f>
        <v>6256.617</v>
      </c>
      <c r="BF31" s="40">
        <f>'3. Earnings Build'!CK13</f>
        <v>1613.463</v>
      </c>
      <c r="BG31" s="40">
        <f>'3. Earnings Build'!CL13</f>
        <v>1868.328</v>
      </c>
      <c r="BH31" s="40">
        <f>'3. Earnings Build'!CM13</f>
        <v>1856.889</v>
      </c>
      <c r="BI31" s="40">
        <f>'3. Earnings Build'!CN13</f>
        <v>2771.838</v>
      </c>
      <c r="BJ31" s="41">
        <f>'3. Earnings Build'!CO13</f>
        <v>8110.518</v>
      </c>
      <c r="BK31" s="40">
        <f>'3. Earnings Build'!CP13</f>
        <v>2000.792</v>
      </c>
      <c r="BL31" s="40">
        <f>'3. Earnings Build'!CQ13</f>
        <v>2209.165</v>
      </c>
      <c r="BM31" s="40">
        <f>'3. Earnings Build'!CR13</f>
        <v>2204.218</v>
      </c>
      <c r="BN31" s="40">
        <f>'3. Earnings Build'!CS13</f>
        <v>3205.103</v>
      </c>
      <c r="BO31" s="41">
        <f>'3. Earnings Build'!CT13</f>
        <v>9619.278</v>
      </c>
      <c r="BP31" s="40">
        <f>'3. Earnings Build'!CU13</f>
        <v>2208.891</v>
      </c>
      <c r="BQ31" s="40">
        <f>'3. Earnings Build'!CV13</f>
        <v>2371.078</v>
      </c>
      <c r="BR31" s="40">
        <f>'3. Earnings Build'!CW13</f>
        <v>2396.66</v>
      </c>
      <c r="BS31" s="40">
        <f>'3. Earnings Build'!CX13</f>
        <v>3611.497</v>
      </c>
      <c r="BT31" s="41">
        <f>'3. Earnings Build'!CY13</f>
        <v>10588.126</v>
      </c>
      <c r="BU31" s="40">
        <f>'3. Earnings Build'!CZ13</f>
        <v>2370.66</v>
      </c>
      <c r="BV31" s="40">
        <f>'3. Earnings Build'!DA13</f>
        <v>2525.219</v>
      </c>
      <c r="BW31" s="40">
        <f>'3. Earnings Build'!DB13</f>
        <v>2565.92</v>
      </c>
      <c r="BX31" s="40">
        <f>'3. Earnings Build'!DC13</f>
        <v>3640.801</v>
      </c>
      <c r="BY31" s="41">
        <f>'3. Earnings Build'!DD13</f>
        <v>11102.6</v>
      </c>
      <c r="BZ31" s="40">
        <f>'3. Earnings Build'!DE13</f>
        <v>2471.603</v>
      </c>
      <c r="CA31" s="40">
        <f>'3. Earnings Build'!DF13</f>
        <v>2415.631</v>
      </c>
      <c r="CB31" s="40">
        <f>'3. Earnings Build'!DG13</f>
        <v>2315.59134378286</v>
      </c>
      <c r="CC31" s="40">
        <f>'3. Earnings Build'!DH13</f>
        <v>3263.77730874327</v>
      </c>
      <c r="CD31" s="41">
        <f>'3. Earnings Build'!DI13</f>
        <v>10466.6026525261</v>
      </c>
      <c r="CE31" s="40">
        <f>'3. Earnings Build'!DJ13</f>
        <v>2361.05617059684</v>
      </c>
      <c r="CF31" s="40">
        <f>'3. Earnings Build'!DK13</f>
        <v>2329.69801228581</v>
      </c>
      <c r="CG31" s="40">
        <f>'3. Earnings Build'!DL13</f>
        <v>2305.14863945084</v>
      </c>
      <c r="CH31" s="40">
        <f>'3. Earnings Build'!DM13</f>
        <v>3221.02108171078</v>
      </c>
      <c r="CI31" s="41">
        <f>'3. Earnings Build'!DN13</f>
        <v>10216.9239040443</v>
      </c>
      <c r="CJ31" s="40">
        <f>'3. Earnings Build'!DO13</f>
        <v>2391.99814726978</v>
      </c>
      <c r="CK31" s="40">
        <f>'3. Earnings Build'!DP13</f>
        <v>2356.23740144272</v>
      </c>
      <c r="CL31" s="40">
        <f>'3. Earnings Build'!DQ13</f>
        <v>2341.58494926514</v>
      </c>
      <c r="CM31" s="40">
        <f>'3. Earnings Build'!DR13</f>
        <v>3241.16639010697</v>
      </c>
      <c r="CN31" s="41">
        <f>'3. Earnings Build'!DS13</f>
        <v>10330.9868880846</v>
      </c>
    </row>
    <row r="32" s="2" customFormat="1" ht="15" customHeight="1" spans="2:92">
      <c r="B32" s="42" t="s">
        <v>359</v>
      </c>
      <c r="C32" s="34">
        <f>'3. Earnings Build'!AH14</f>
        <v>0.350571595913143</v>
      </c>
      <c r="D32" s="34">
        <f>'3. Earnings Build'!AI14</f>
        <v>0.394952959108588</v>
      </c>
      <c r="E32" s="34">
        <f>'3. Earnings Build'!AJ14</f>
        <v>0.309533560864619</v>
      </c>
      <c r="F32" s="34">
        <f>'3. Earnings Build'!AK14</f>
        <v>0.513942599603095</v>
      </c>
      <c r="G32" s="35">
        <f>'3. Earnings Build'!AL14</f>
        <v>0.406257376662208</v>
      </c>
      <c r="H32" s="34">
        <f>'3. Earnings Build'!AM14</f>
        <v>0.529596316522111</v>
      </c>
      <c r="I32" s="34">
        <f>'3. Earnings Build'!AN14</f>
        <v>0.331151123524065</v>
      </c>
      <c r="J32" s="34">
        <f>'3. Earnings Build'!AO14</f>
        <v>0.374956562532578</v>
      </c>
      <c r="K32" s="34">
        <f>'3. Earnings Build'!AP14</f>
        <v>0.306861003445306</v>
      </c>
      <c r="L32" s="35">
        <f>'3. Earnings Build'!AQ14</f>
        <v>0.369245203274453</v>
      </c>
      <c r="M32" s="34">
        <f>'3. Earnings Build'!AR14</f>
        <v>0.210305987441284</v>
      </c>
      <c r="N32" s="34">
        <f>'3. Earnings Build'!AS14</f>
        <v>0.218936858268998</v>
      </c>
      <c r="O32" s="34">
        <f>'3. Earnings Build'!AT14</f>
        <v>0.200175650871778</v>
      </c>
      <c r="P32" s="34">
        <f>'3. Earnings Build'!AU14</f>
        <v>0.0730508212759382</v>
      </c>
      <c r="Q32" s="35">
        <f>'3. Earnings Build'!AV14</f>
        <v>0.161117167763432</v>
      </c>
      <c r="R32" s="34">
        <f>'3. Earnings Build'!AW14</f>
        <v>0.112313538587896</v>
      </c>
      <c r="S32" s="34">
        <f>'3. Earnings Build'!AX14</f>
        <v>0.134142978639413</v>
      </c>
      <c r="T32" s="34">
        <f>'3. Earnings Build'!AY14</f>
        <v>0.103964201105554</v>
      </c>
      <c r="U32" s="34">
        <f>'3. Earnings Build'!AZ14</f>
        <v>0.156385978314487</v>
      </c>
      <c r="V32" s="35">
        <f>'3. Earnings Build'!BA14</f>
        <v>0.12947684371677</v>
      </c>
      <c r="W32" s="34">
        <f>'3. Earnings Build'!BB14</f>
        <v>0.101206911793</v>
      </c>
      <c r="X32" s="34">
        <f>'3. Earnings Build'!BC14</f>
        <v>0.159402856726052</v>
      </c>
      <c r="Y32" s="34">
        <f>'3. Earnings Build'!BD14</f>
        <v>0.1437710421654</v>
      </c>
      <c r="Z32" s="34">
        <f>'3. Earnings Build'!BE14</f>
        <v>0.168982968418292</v>
      </c>
      <c r="AA32" s="35">
        <f>'3. Earnings Build'!BF14</f>
        <v>0.146512093745305</v>
      </c>
      <c r="AB32" s="34">
        <f>'3. Earnings Build'!BG14</f>
        <v>0.1699280358121</v>
      </c>
      <c r="AC32" s="34">
        <f>'3. Earnings Build'!BH14</f>
        <v>0.135780667093441</v>
      </c>
      <c r="AD32" s="34">
        <f>'3. Earnings Build'!BI14</f>
        <v>0.13492587967721</v>
      </c>
      <c r="AE32" s="34">
        <f>'3. Earnings Build'!BJ14</f>
        <v>0.121634132073221</v>
      </c>
      <c r="AF32" s="35">
        <f>'3. Earnings Build'!BK14</f>
        <v>0.137765509047946</v>
      </c>
      <c r="AG32" s="34">
        <f>'3. Earnings Build'!BL14</f>
        <v>0.0500306750942454</v>
      </c>
      <c r="AH32" s="34">
        <f>'3. Earnings Build'!BM14</f>
        <v>0.129312757521574</v>
      </c>
      <c r="AI32" s="34">
        <f>'3. Earnings Build'!BN14</f>
        <v>0.137060630106389</v>
      </c>
      <c r="AJ32" s="34">
        <f>'3. Earnings Build'!BO14</f>
        <v>0.175760184317796</v>
      </c>
      <c r="AK32" s="35">
        <f>'3. Earnings Build'!BP14</f>
        <v>0.130005135659907</v>
      </c>
      <c r="AL32" s="34">
        <f>'3. Earnings Build'!BQ14</f>
        <v>0.248608994305285</v>
      </c>
      <c r="AM32" s="34">
        <f>'3. Earnings Build'!BR14</f>
        <v>0.245151053086288</v>
      </c>
      <c r="AN32" s="34">
        <f>'3. Earnings Build'!BS14</f>
        <v>0.20777695570841</v>
      </c>
      <c r="AO32" s="34">
        <f>'3. Earnings Build'!BT14</f>
        <v>0.257029651801288</v>
      </c>
      <c r="AP32" s="35">
        <f>'3. Earnings Build'!BU14</f>
        <v>0.241261524814329</v>
      </c>
      <c r="AQ32" s="34">
        <f>'3. Earnings Build'!BV14</f>
        <v>0.204191423205984</v>
      </c>
      <c r="AR32" s="34">
        <f>'3. Earnings Build'!BW14</f>
        <v>0.220942639944713</v>
      </c>
      <c r="AS32" s="34">
        <f>'3. Earnings Build'!BX14</f>
        <v>0.22529776434318</v>
      </c>
      <c r="AT32" s="34">
        <f>'3. Earnings Build'!BY14</f>
        <v>0.196998040263674</v>
      </c>
      <c r="AU32" s="35">
        <f>'3. Earnings Build'!BZ14</f>
        <v>0.210121949847323</v>
      </c>
      <c r="AV32" s="34">
        <f>'3. Earnings Build'!CA14</f>
        <v>-0.16662469721276</v>
      </c>
      <c r="AW32" s="34">
        <f>'3. Earnings Build'!CB14</f>
        <v>0.0221734936922087</v>
      </c>
      <c r="AX32" s="34">
        <f>'3. Earnings Build'!CC14</f>
        <v>0.219764217880144</v>
      </c>
      <c r="AY32" s="34">
        <f>'3. Earnings Build'!CD14</f>
        <v>0.237604293381038</v>
      </c>
      <c r="AZ32" s="35">
        <f>'3. Earnings Build'!CE14</f>
        <v>0.106203479183478</v>
      </c>
      <c r="BA32" s="34">
        <f>'3. Earnings Build'!CF14</f>
        <v>0.881207800454628</v>
      </c>
      <c r="BB32" s="34">
        <f>'3. Earnings Build'!CG14</f>
        <v>0.606551494619238</v>
      </c>
      <c r="BC32" s="34">
        <f>'3. Earnings Build'!CH14</f>
        <v>0.298001836363213</v>
      </c>
      <c r="BD32" s="34">
        <f>'3. Earnings Build'!CI14</f>
        <v>0.231013580395386</v>
      </c>
      <c r="BE32" s="35">
        <f>'3. Earnings Build'!CJ14</f>
        <v>0.421351427424516</v>
      </c>
      <c r="BF32" s="34">
        <f>'3. Earnings Build'!CK14</f>
        <v>0.315527576568967</v>
      </c>
      <c r="BG32" s="34">
        <f>'3. Earnings Build'!CL14</f>
        <v>0.287953134457176</v>
      </c>
      <c r="BH32" s="34">
        <f>'3. Earnings Build'!CM14</f>
        <v>0.280241391982052</v>
      </c>
      <c r="BI32" s="34">
        <f>'3. Earnings Build'!CN14</f>
        <v>0.301881262616821</v>
      </c>
      <c r="BJ32" s="35">
        <f>'3. Earnings Build'!CO14</f>
        <v>0.296310450200164</v>
      </c>
      <c r="BK32" s="34">
        <f>'3. Earnings Build'!CP14</f>
        <v>0.240060664545763</v>
      </c>
      <c r="BL32" s="34">
        <f>'3. Earnings Build'!CQ14</f>
        <v>0.182428888289422</v>
      </c>
      <c r="BM32" s="34">
        <f>'3. Earnings Build'!CR14</f>
        <v>0.187048875834797</v>
      </c>
      <c r="BN32" s="34">
        <f>'3. Earnings Build'!CS14</f>
        <v>0.156309640029468</v>
      </c>
      <c r="BO32" s="35">
        <f>'3. Earnings Build'!CT14</f>
        <v>0.18602510961692</v>
      </c>
      <c r="BP32" s="34">
        <f>'3. Earnings Build'!CU14</f>
        <v>0.104008312708168</v>
      </c>
      <c r="BQ32" s="34">
        <f>'3. Earnings Build'!CV14</f>
        <v>0.0732914924869803</v>
      </c>
      <c r="BR32" s="34">
        <f>'3. Earnings Build'!CW14</f>
        <v>0.087306246478343</v>
      </c>
      <c r="BS32" s="34">
        <f>'3. Earnings Build'!CX14</f>
        <v>0.126795925123155</v>
      </c>
      <c r="BT32" s="35">
        <f>'3. Earnings Build'!CY14</f>
        <v>0.10071940950246</v>
      </c>
      <c r="BU32" s="34">
        <f>'3. Earnings Build'!CZ14</f>
        <v>0.0732353927830751</v>
      </c>
      <c r="BV32" s="34">
        <f>'3. Earnings Build'!DA14</f>
        <v>0.0650088272085525</v>
      </c>
      <c r="BW32" s="34">
        <f>'3. Earnings Build'!DB14</f>
        <v>0.0706232840703311</v>
      </c>
      <c r="BX32" s="34">
        <f>'3. Earnings Build'!DC14</f>
        <v>0.00811408676235925</v>
      </c>
      <c r="BY32" s="35">
        <f>'3. Earnings Build'!DD14</f>
        <v>0.0485897126649231</v>
      </c>
      <c r="BZ32" s="34">
        <f>'3. Earnings Build'!DE14</f>
        <v>0.0425801253659319</v>
      </c>
      <c r="CA32" s="34">
        <f>'3. Earnings Build'!DF14</f>
        <v>-0.043397424144203</v>
      </c>
      <c r="CB32" s="34">
        <f>'3. Earnings Build'!DG14</f>
        <v>-0.0975590260869944</v>
      </c>
      <c r="CC32" s="34">
        <f>'3. Earnings Build'!DH14</f>
        <v>-0.103555149335744</v>
      </c>
      <c r="CD32" s="35">
        <f>'3. Earnings Build'!DI14</f>
        <v>-0.0572836405413025</v>
      </c>
      <c r="CE32" s="34">
        <f>'3. Earnings Build'!DJ14</f>
        <v>-0.0447267742445541</v>
      </c>
      <c r="CF32" s="34">
        <f>'3. Earnings Build'!DK14</f>
        <v>-0.0355737228550999</v>
      </c>
      <c r="CG32" s="34">
        <f>'3. Earnings Build'!DL14</f>
        <v>-0.00450973543326327</v>
      </c>
      <c r="CH32" s="34">
        <f>'3. Earnings Build'!DM14</f>
        <v>-0.0131002280449559</v>
      </c>
      <c r="CI32" s="35">
        <f>'3. Earnings Build'!DN14</f>
        <v>-0.0238548033942606</v>
      </c>
      <c r="CJ32" s="34">
        <f>'3. Earnings Build'!DO14</f>
        <v>0.0131051421216821</v>
      </c>
      <c r="CK32" s="34">
        <f>'3. Earnings Build'!DP14</f>
        <v>0.0113917722455663</v>
      </c>
      <c r="CL32" s="34">
        <f>'3. Earnings Build'!DQ14</f>
        <v>0.0158064903888269</v>
      </c>
      <c r="CM32" s="34">
        <f>'3. Earnings Build'!DR14</f>
        <v>0.00625432367101686</v>
      </c>
      <c r="CN32" s="35">
        <f>'3. Earnings Build'!DS14</f>
        <v>0.0111641219129752</v>
      </c>
    </row>
    <row r="33" s="4" customFormat="1" ht="15" customHeight="1" spans="2:92">
      <c r="B33" s="43" t="s">
        <v>490</v>
      </c>
      <c r="C33" s="44">
        <f>'3. Earnings Build'!AH16</f>
        <v>0.321993944442706</v>
      </c>
      <c r="D33" s="44">
        <f>'3. Earnings Build'!AI16</f>
        <v>0.347230006831656</v>
      </c>
      <c r="E33" s="44">
        <f>'3. Earnings Build'!AJ16</f>
        <v>0.291396959263414</v>
      </c>
      <c r="F33" s="44">
        <f>'3. Earnings Build'!AK16</f>
        <v>0.523937808167429</v>
      </c>
      <c r="G33" s="45">
        <f>'3. Earnings Build'!AL16</f>
        <v>0.388232716725661</v>
      </c>
      <c r="H33" s="44">
        <f>'3. Earnings Build'!AM16</f>
        <v>0.539918502867492</v>
      </c>
      <c r="I33" s="44">
        <f>'3. Earnings Build'!AN16</f>
        <v>0.350871394052185</v>
      </c>
      <c r="J33" s="44">
        <f>'3. Earnings Build'!AO16</f>
        <v>0.374956562532578</v>
      </c>
      <c r="K33" s="44">
        <f>'3. Earnings Build'!AP16</f>
        <v>0.296653408018248</v>
      </c>
      <c r="L33" s="45">
        <f>'3. Earnings Build'!AQ16</f>
        <v>0.371200029270019</v>
      </c>
      <c r="M33" s="44">
        <f>'3. Earnings Build'!AR16</f>
        <v>0.220076446814124</v>
      </c>
      <c r="N33" s="44">
        <f>'3. Earnings Build'!AS16</f>
        <v>0.228995230679586</v>
      </c>
      <c r="O33" s="44">
        <f>'3. Earnings Build'!AT16</f>
        <v>0.229546849036179</v>
      </c>
      <c r="P33" s="44">
        <f>'3. Earnings Build'!AU16</f>
        <v>0.0987147521877789</v>
      </c>
      <c r="Q33" s="45">
        <f>'3. Earnings Build'!AV16</f>
        <v>0.181378773122804</v>
      </c>
      <c r="R33" s="44">
        <f>'3. Earnings Build'!AW16</f>
        <v>0.144416182846653</v>
      </c>
      <c r="S33" s="44">
        <f>'3. Earnings Build'!AX16</f>
        <v>0.154140173295154</v>
      </c>
      <c r="T33" s="44">
        <f>'3. Earnings Build'!AY16</f>
        <v>0.124845647390516</v>
      </c>
      <c r="U33" s="44">
        <f>'3. Earnings Build'!AZ16</f>
        <v>0.190171729776144</v>
      </c>
      <c r="V33" s="46">
        <f>'3. Earnings Build'!BA16</f>
        <v>0.156746147574679</v>
      </c>
      <c r="W33" s="47">
        <f>'3. Earnings Build'!BB16</f>
        <v>0.14330755422386</v>
      </c>
      <c r="X33" s="47">
        <f>'3. Earnings Build'!BC16</f>
        <v>0.214992624379778</v>
      </c>
      <c r="Y33" s="47">
        <f>'3. Earnings Build'!BD16</f>
        <v>0.208492543905362</v>
      </c>
      <c r="Z33" s="47">
        <f>'3. Earnings Build'!BE16</f>
        <v>0.21741493362503</v>
      </c>
      <c r="AA33" s="46">
        <f>'3. Earnings Build'!BF16</f>
        <v>0.198855876621472</v>
      </c>
      <c r="AB33" s="47">
        <f>'3. Earnings Build'!BG16</f>
        <v>0.18992638687866</v>
      </c>
      <c r="AC33" s="47">
        <f>'3. Earnings Build'!BH16</f>
        <v>0.146460942451858</v>
      </c>
      <c r="AD33" s="47">
        <f>'3. Earnings Build'!BI16</f>
        <v>0.13492587967721</v>
      </c>
      <c r="AE33" s="47">
        <f>'3. Earnings Build'!BJ16</f>
        <v>0.121634132073221</v>
      </c>
      <c r="AF33" s="46">
        <f>'3. Earnings Build'!BK16</f>
        <v>0.144060922027825</v>
      </c>
      <c r="AG33" s="47">
        <f>'3. Earnings Build'!BL16</f>
        <v>0.0576872725687874</v>
      </c>
      <c r="AH33" s="47">
        <f>'3. Earnings Build'!BM16</f>
        <v>0.130849492572516</v>
      </c>
      <c r="AI33" s="47">
        <f>'3. Earnings Build'!BN16</f>
        <v>0.126763609005088</v>
      </c>
      <c r="AJ33" s="47">
        <f>'3. Earnings Build'!BO16</f>
        <v>0.16</v>
      </c>
      <c r="AK33" s="46">
        <f>'3. Earnings Build'!BP16</f>
        <v>0.12</v>
      </c>
      <c r="AL33" s="47">
        <f>'3. Earnings Build'!BQ16</f>
        <v>0.23</v>
      </c>
      <c r="AM33" s="47">
        <f>'3. Earnings Build'!BR16</f>
        <v>0.242546502796622</v>
      </c>
      <c r="AN33" s="47">
        <f>'3. Earnings Build'!BS16</f>
        <v>0.220394750050821</v>
      </c>
      <c r="AO33" s="47">
        <f>'3. Earnings Build'!BT16</f>
        <v>0.271973470700913</v>
      </c>
      <c r="AP33" s="46">
        <f>'3. Earnings Build'!BU16</f>
        <v>0.24512601479539</v>
      </c>
      <c r="AQ33" s="47">
        <f>'3. Earnings Build'!BV16</f>
        <v>0.22</v>
      </c>
      <c r="AR33" s="47">
        <f>'3. Earnings Build'!BW16</f>
        <v>0.23</v>
      </c>
      <c r="AS33" s="47">
        <f>'3. Earnings Build'!BX16</f>
        <v>0.23</v>
      </c>
      <c r="AT33" s="47">
        <f>'3. Earnings Build'!BY16</f>
        <v>0.2</v>
      </c>
      <c r="AU33" s="46">
        <f>'3. Earnings Build'!BZ16</f>
        <v>0.219245082090225</v>
      </c>
      <c r="AV33" s="47">
        <f>'3. Earnings Build'!CA16</f>
        <v>-0.16</v>
      </c>
      <c r="AW33" s="47">
        <f>'3. Earnings Build'!CB16</f>
        <v>0.03</v>
      </c>
      <c r="AX33" s="47">
        <f>'3. Earnings Build'!CC16</f>
        <v>0.21</v>
      </c>
      <c r="AY33" s="47">
        <f>'3. Earnings Build'!CD16</f>
        <v>0.22</v>
      </c>
      <c r="AZ33" s="46">
        <f>'3. Earnings Build'!CE16</f>
        <v>0.100546422317877</v>
      </c>
      <c r="BA33" s="47">
        <f>'3. Earnings Build'!CF16</f>
        <v>0.83</v>
      </c>
      <c r="BB33" s="47">
        <f>'3. Earnings Build'!CG16</f>
        <v>0.56</v>
      </c>
      <c r="BC33" s="47">
        <f>'3. Earnings Build'!CH16</f>
        <v>0.28</v>
      </c>
      <c r="BD33" s="47">
        <f>'3. Earnings Build'!CI16</f>
        <v>0.23</v>
      </c>
      <c r="BE33" s="46">
        <f>'3. Earnings Build'!CJ16</f>
        <v>0.39320819331118</v>
      </c>
      <c r="BF33" s="47">
        <f>'3. Earnings Build'!CK16</f>
        <v>0.32</v>
      </c>
      <c r="BG33" s="47">
        <f>'3. Earnings Build'!CL16</f>
        <v>0.31</v>
      </c>
      <c r="BH33" s="47">
        <f>'3. Earnings Build'!CM16</f>
        <v>0.31</v>
      </c>
      <c r="BI33" s="47">
        <f>'3. Earnings Build'!CN16</f>
        <v>0.33</v>
      </c>
      <c r="BJ33" s="46">
        <f>'3. Earnings Build'!CO16</f>
        <v>0.325200628647444</v>
      </c>
      <c r="BK33" s="47">
        <f>'3. Earnings Build'!CP16</f>
        <v>0.27</v>
      </c>
      <c r="BL33" s="47">
        <f>'3. Earnings Build'!CQ16</f>
        <v>0.2</v>
      </c>
      <c r="BM33" s="47">
        <f>'3. Earnings Build'!CR16</f>
        <v>0.19</v>
      </c>
      <c r="BN33" s="47">
        <f>'3. Earnings Build'!CS16</f>
        <v>0.16</v>
      </c>
      <c r="BO33" s="46">
        <f>'3. Earnings Build'!CT16</f>
        <v>0.198701633922428</v>
      </c>
      <c r="BP33" s="47">
        <f>'3. Earnings Build'!CU16</f>
        <v>0.11</v>
      </c>
      <c r="BQ33" s="47">
        <f>'3. Earnings Build'!CV16</f>
        <v>0.08</v>
      </c>
      <c r="BR33" s="47">
        <f>'3. Earnings Build'!CW16</f>
        <v>0.08</v>
      </c>
      <c r="BS33" s="47">
        <f>'3. Earnings Build'!CX16</f>
        <v>0.14</v>
      </c>
      <c r="BT33" s="46">
        <f>'3. Earnings Build'!CY16</f>
        <v>0.106714573360787</v>
      </c>
      <c r="BU33" s="47">
        <f>'3. Earnings Build'!CZ16</f>
        <v>0.08</v>
      </c>
      <c r="BV33" s="47">
        <f>'3. Earnings Build'!DA16</f>
        <v>0.06</v>
      </c>
      <c r="BW33" s="47">
        <f>'3. Earnings Build'!DB16</f>
        <v>0.07</v>
      </c>
      <c r="BX33" s="47">
        <f>'3. Earnings Build'!DC16</f>
        <v>0</v>
      </c>
      <c r="BY33" s="46">
        <f>'3. Earnings Build'!DD16</f>
        <v>0.0448657362868803</v>
      </c>
      <c r="BZ33" s="47">
        <f>'3. Earnings Build'!DE16</f>
        <v>0.02</v>
      </c>
      <c r="CA33" s="47">
        <f>'3. Earnings Build'!DF16</f>
        <v>-0.05</v>
      </c>
      <c r="CB33" s="47">
        <f>'3. Earnings Build'!DG16</f>
        <v>-0.107433595718466</v>
      </c>
      <c r="CC33" s="47">
        <f>'3. Earnings Build'!DH16</f>
        <v>-0.10897737075781</v>
      </c>
      <c r="CD33" s="46">
        <f>'3. Earnings Build'!DI16</f>
        <v>-0.0554014702446375</v>
      </c>
      <c r="CE33" s="47">
        <f>'3. Earnings Build'!DJ16</f>
        <v>-0.0479005866216989</v>
      </c>
      <c r="CF33" s="47">
        <f>'3. Earnings Build'!DK16</f>
        <v>-0.0376773830555807</v>
      </c>
      <c r="CG33" s="47">
        <f>'3. Earnings Build'!DL16</f>
        <v>-0.00450973543326327</v>
      </c>
      <c r="CH33" s="47">
        <f>'3. Earnings Build'!DM16</f>
        <v>-0.0131002280449559</v>
      </c>
      <c r="CI33" s="46">
        <f>'3. Earnings Build'!DN16</f>
        <v>-0.0251140613587302</v>
      </c>
      <c r="CJ33" s="47">
        <f>'3. Earnings Build'!DO16</f>
        <v>0.0131051421216821</v>
      </c>
      <c r="CK33" s="47">
        <f>'3. Earnings Build'!DP16</f>
        <v>0.0113917722455663</v>
      </c>
      <c r="CL33" s="47">
        <f>'3. Earnings Build'!DQ16</f>
        <v>0.0158064903888269</v>
      </c>
      <c r="CM33" s="47">
        <f>'3. Earnings Build'!DR16</f>
        <v>0.00625432367101686</v>
      </c>
      <c r="CN33" s="46">
        <f>'3. Earnings Build'!DS16</f>
        <v>0.0111641219129752</v>
      </c>
    </row>
    <row r="34" ht="15" customHeight="1" spans="2:92">
      <c r="B34" s="39" t="s">
        <v>71</v>
      </c>
      <c r="C34" s="48">
        <f>'2. Consolidated'!AH42</f>
        <v>109.727</v>
      </c>
      <c r="D34" s="48">
        <f>'2. Consolidated'!AI42</f>
        <v>122.067</v>
      </c>
      <c r="E34" s="48">
        <f>'2. Consolidated'!AJ42</f>
        <v>128.513</v>
      </c>
      <c r="F34" s="48">
        <f>'2. Consolidated'!AK42</f>
        <v>209.018</v>
      </c>
      <c r="G34" s="49">
        <f>'2. Consolidated'!AL42</f>
        <v>569.325</v>
      </c>
      <c r="H34" s="48">
        <f>'2. Consolidated'!AM42</f>
        <v>157.264</v>
      </c>
      <c r="I34" s="48">
        <f>'2. Consolidated'!AN42</f>
        <v>155.755</v>
      </c>
      <c r="J34" s="48">
        <f>'2. Consolidated'!AO42</f>
        <v>175.3</v>
      </c>
      <c r="K34" s="48">
        <f>'2. Consolidated'!AP42</f>
        <v>274.507</v>
      </c>
      <c r="L34" s="49">
        <f>'2. Consolidated'!AQ42</f>
        <v>762.826</v>
      </c>
      <c r="M34" s="48">
        <f>'2. Consolidated'!AR42</f>
        <v>170.725</v>
      </c>
      <c r="N34" s="48">
        <f>'2. Consolidated'!AS42</f>
        <v>185.955</v>
      </c>
      <c r="O34" s="48">
        <f>'2. Consolidated'!AT42</f>
        <v>204.606</v>
      </c>
      <c r="P34" s="48">
        <f>'2. Consolidated'!AU42</f>
        <v>278.79</v>
      </c>
      <c r="Q34" s="49">
        <f>'2. Consolidated'!AV42</f>
        <v>840.076</v>
      </c>
      <c r="R34" s="48">
        <f>'2. Consolidated'!AW42</f>
        <v>195.744</v>
      </c>
      <c r="S34" s="48">
        <f>'2. Consolidated'!AX42</f>
        <v>197.326</v>
      </c>
      <c r="T34" s="48">
        <f>'2. Consolidated'!AY42</f>
        <v>211.088</v>
      </c>
      <c r="U34" s="48">
        <f>'2. Consolidated'!AZ42</f>
        <v>310.041</v>
      </c>
      <c r="V34" s="49">
        <f>'2. Consolidated'!BA42</f>
        <v>914.18</v>
      </c>
      <c r="W34" s="48">
        <f>'2. Consolidated'!BB42</f>
        <v>205.877</v>
      </c>
      <c r="X34" s="48">
        <f>'2. Consolidated'!BC42</f>
        <v>212.025</v>
      </c>
      <c r="Y34" s="48">
        <f>'2. Consolidated'!BD42</f>
        <v>224.797</v>
      </c>
      <c r="Z34" s="48">
        <f>'2. Consolidated'!BE42</f>
        <v>354.467</v>
      </c>
      <c r="AA34" s="49">
        <f>'2. Consolidated'!BF42</f>
        <v>997.166</v>
      </c>
      <c r="AB34" s="48">
        <f>'2. Consolidated'!BG42</f>
        <v>239.131</v>
      </c>
      <c r="AC34" s="48">
        <f>'2. Consolidated'!BH42</f>
        <v>254.161</v>
      </c>
      <c r="AD34" s="48">
        <f>'2. Consolidated'!BI42</f>
        <v>278.426</v>
      </c>
      <c r="AE34" s="48">
        <f>'2. Consolidated'!BJ42</f>
        <v>427.899</v>
      </c>
      <c r="AF34" s="49">
        <f>'2. Consolidated'!BK42</f>
        <v>1199.617</v>
      </c>
      <c r="AG34" s="48">
        <f>'2. Consolidated'!BL42</f>
        <v>262.314</v>
      </c>
      <c r="AH34" s="48">
        <f>'2. Consolidated'!BM42</f>
        <v>299.666</v>
      </c>
      <c r="AI34" s="48">
        <f>'2. Consolidated'!BN42</f>
        <v>323.156</v>
      </c>
      <c r="AJ34" s="48">
        <f>'2. Consolidated'!BO42</f>
        <v>522.368</v>
      </c>
      <c r="AK34" s="49">
        <f>'2. Consolidated'!BP42</f>
        <v>1407.488</v>
      </c>
      <c r="AL34" s="48">
        <f>'2. Consolidated'!BQ42</f>
        <v>344.733</v>
      </c>
      <c r="AM34" s="48">
        <f>'2. Consolidated'!BR42</f>
        <v>396.194</v>
      </c>
      <c r="AN34" s="48">
        <f>'2. Consolidated'!BS42</f>
        <v>406.777</v>
      </c>
      <c r="AO34" s="48">
        <f>'2. Consolidated'!BT42</f>
        <v>668.583</v>
      </c>
      <c r="AP34" s="49">
        <f>'2. Consolidated'!BU42</f>
        <v>1816.287</v>
      </c>
      <c r="AQ34" s="48">
        <f>'2. Consolidated'!BV42</f>
        <v>421.72</v>
      </c>
      <c r="AR34" s="48">
        <f>'2. Consolidated'!BW42</f>
        <v>485.796</v>
      </c>
      <c r="AS34" s="48">
        <f>'2. Consolidated'!BX42</f>
        <v>505.044</v>
      </c>
      <c r="AT34" s="48">
        <f>'2. Consolidated'!BY42</f>
        <v>810.826</v>
      </c>
      <c r="AU34" s="49">
        <f>'2. Consolidated'!BZ42</f>
        <v>2223.386</v>
      </c>
      <c r="AV34" s="48">
        <f>'2. Consolidated'!CA42</f>
        <v>334.402</v>
      </c>
      <c r="AW34" s="48">
        <f>'2. Consolidated'!CB42</f>
        <v>489.501</v>
      </c>
      <c r="AX34" s="48">
        <f>'2. Consolidated'!CC42</f>
        <v>627.354</v>
      </c>
      <c r="AY34" s="48">
        <f>'2. Consolidated'!CD42</f>
        <v>1012.734</v>
      </c>
      <c r="AZ34" s="49">
        <f>'2. Consolidated'!CE42</f>
        <v>2463.991</v>
      </c>
      <c r="BA34" s="48">
        <f>'2. Consolidated'!CF42</f>
        <v>700.314</v>
      </c>
      <c r="BB34" s="48">
        <f>'2. Consolidated'!CG42</f>
        <v>842.686</v>
      </c>
      <c r="BC34" s="48">
        <f>'2. Consolidated'!CH42</f>
        <v>829.393</v>
      </c>
      <c r="BD34" s="48">
        <f>'2. Consolidated'!CI42</f>
        <v>1236.172</v>
      </c>
      <c r="BE34" s="49">
        <f>'2. Consolidated'!CJ42</f>
        <v>3608.565</v>
      </c>
      <c r="BF34" s="48">
        <f>'2. Consolidated'!CK42</f>
        <v>870.393</v>
      </c>
      <c r="BG34" s="48">
        <f>'2. Consolidated'!CL42</f>
        <v>1055.476</v>
      </c>
      <c r="BH34" s="48">
        <f>'2. Consolidated'!CM42</f>
        <v>1038.852</v>
      </c>
      <c r="BI34" s="48">
        <f>'2. Consolidated'!CN42</f>
        <v>1590.547</v>
      </c>
      <c r="BJ34" s="49">
        <f>'2. Consolidated'!CO42</f>
        <v>4555.268</v>
      </c>
      <c r="BK34" s="48">
        <f>'2. Consolidated'!CP42</f>
        <v>1150.805</v>
      </c>
      <c r="BL34" s="48">
        <f>'2. Consolidated'!CQ42</f>
        <v>1298.511</v>
      </c>
      <c r="BM34" s="48">
        <f>'2. Consolidated'!CR42</f>
        <v>1280.373</v>
      </c>
      <c r="BN34" s="48">
        <f>'2. Consolidated'!CS42</f>
        <v>1903.425</v>
      </c>
      <c r="BO34" s="49">
        <f>'2. Consolidated'!CT42</f>
        <v>5633.114</v>
      </c>
      <c r="BP34" s="48">
        <f>'2. Consolidated'!CU42</f>
        <v>1275.068</v>
      </c>
      <c r="BQ34" s="48">
        <f>'2. Consolidated'!CV42</f>
        <v>1412.185</v>
      </c>
      <c r="BR34" s="48">
        <f>'2. Consolidated'!CW42</f>
        <v>1401.606</v>
      </c>
      <c r="BS34" s="48">
        <f>'2. Consolidated'!CX42</f>
        <v>2181.952</v>
      </c>
      <c r="BT34" s="49">
        <f>'2. Consolidated'!CY42</f>
        <v>6270.811</v>
      </c>
      <c r="BU34" s="48">
        <f>'2. Consolidated'!CZ42</f>
        <v>1383.126</v>
      </c>
      <c r="BV34" s="48">
        <f>'2. Consolidated'!DA42</f>
        <v>1477.202</v>
      </c>
      <c r="BW34" s="48">
        <f>'2. Consolidated'!DB42</f>
        <v>1425.916</v>
      </c>
      <c r="BX34" s="48">
        <f>'2. Consolidated'!DC42</f>
        <v>1997.888</v>
      </c>
      <c r="BY34" s="49">
        <f>'2. Consolidated'!DD42</f>
        <v>6284.132</v>
      </c>
      <c r="BZ34" s="48">
        <f>'2. Consolidated'!DE42</f>
        <v>1338.818</v>
      </c>
      <c r="CA34" s="48">
        <f>'2. Consolidated'!DF42</f>
        <v>1461.878</v>
      </c>
      <c r="CB34" s="48">
        <f>'2. Consolidated'!DG42</f>
        <v>1228.91524016357</v>
      </c>
      <c r="CC34" s="48">
        <f>'2. Consolidated'!DH42</f>
        <v>1790.99640980391</v>
      </c>
      <c r="CD34" s="49">
        <f>'2. Consolidated'!DI42</f>
        <v>5820.60764996748</v>
      </c>
      <c r="CE34" s="48">
        <f>'2. Consolidated'!DJ42</f>
        <v>1286.02015807125</v>
      </c>
      <c r="CF34" s="48">
        <f>'2. Consolidated'!DK42</f>
        <v>1288.72926054117</v>
      </c>
      <c r="CG34" s="48">
        <f>'2. Consolidated'!DL42</f>
        <v>1219.91543460135</v>
      </c>
      <c r="CH34" s="48">
        <f>'2. Consolidated'!DM42</f>
        <v>1762.70241678521</v>
      </c>
      <c r="CI34" s="49">
        <f>'2. Consolidated'!DN42</f>
        <v>5557.36726999897</v>
      </c>
      <c r="CJ34" s="48">
        <f>'2. Consolidated'!DO42</f>
        <v>1300.48163686685</v>
      </c>
      <c r="CK34" s="48">
        <f>'2. Consolidated'!DP42</f>
        <v>1301.05393336201</v>
      </c>
      <c r="CL34" s="48">
        <f>'2. Consolidated'!DQ42</f>
        <v>1236.85643124429</v>
      </c>
      <c r="CM34" s="48">
        <f>'2. Consolidated'!DR42</f>
        <v>1770.48576184537</v>
      </c>
      <c r="CN34" s="49">
        <f>'2. Consolidated'!DS42</f>
        <v>5608.87776331851</v>
      </c>
    </row>
    <row r="35" ht="15" customHeight="1" spans="2:92">
      <c r="B35" s="50" t="s">
        <v>322</v>
      </c>
      <c r="C35" s="20">
        <f>'2. Consolidated'!AH44</f>
        <v>0.587466538173252</v>
      </c>
      <c r="D35" s="20">
        <f>'2. Consolidated'!AI44</f>
        <v>0.574911808894938</v>
      </c>
      <c r="E35" s="20">
        <f>'2. Consolidated'!AJ44</f>
        <v>0.558227925079056</v>
      </c>
      <c r="F35" s="20">
        <f>'2. Consolidated'!AK44</f>
        <v>0.562602282515073</v>
      </c>
      <c r="G35" s="21">
        <f>'2. Consolidated'!AL44</f>
        <v>0.568847736748868</v>
      </c>
      <c r="H35" s="20">
        <f>'2. Consolidated'!AM44</f>
        <v>0.550455375956429</v>
      </c>
      <c r="I35" s="20">
        <f>'2. Consolidated'!AN44</f>
        <v>0.551083733733379</v>
      </c>
      <c r="J35" s="20">
        <f>'2. Consolidated'!AO44</f>
        <v>0.553805716235385</v>
      </c>
      <c r="K35" s="20">
        <f>'2. Consolidated'!AP44</f>
        <v>0.565423727417099</v>
      </c>
      <c r="L35" s="21">
        <f>'2. Consolidated'!AQ44</f>
        <v>0.556661835812248</v>
      </c>
      <c r="M35" s="20">
        <f>'2. Consolidated'!AR44</f>
        <v>0.493735937671712</v>
      </c>
      <c r="N35" s="20">
        <f>'2. Consolidated'!AS44</f>
        <v>0.539761924803999</v>
      </c>
      <c r="O35" s="20">
        <f>'2. Consolidated'!AT44</f>
        <v>0.538578573308765</v>
      </c>
      <c r="P35" s="20">
        <f>'2. Consolidated'!AU44</f>
        <v>0.535112755833572</v>
      </c>
      <c r="Q35" s="21">
        <f>'2. Consolidated'!AV44</f>
        <v>0.527955213337456</v>
      </c>
      <c r="R35" s="20">
        <f>'2. Consolidated'!AW44</f>
        <v>0.508930939269613</v>
      </c>
      <c r="S35" s="20">
        <f>'2. Consolidated'!AX44</f>
        <v>0.505022688475585</v>
      </c>
      <c r="T35" s="20">
        <f>'2. Consolidated'!AY44</f>
        <v>0.503314290074297</v>
      </c>
      <c r="U35" s="20">
        <f>'2. Consolidated'!AZ44</f>
        <v>0.514598558318713</v>
      </c>
      <c r="V35" s="21">
        <f>'2. Consolidated'!BA44</f>
        <v>0.50866536131221</v>
      </c>
      <c r="W35" s="20">
        <f>'2. Consolidated'!BB44</f>
        <v>0.486081729407098</v>
      </c>
      <c r="X35" s="20">
        <f>'2. Consolidated'!BC44</f>
        <v>0.468036025694797</v>
      </c>
      <c r="Y35" s="20">
        <f>'2. Consolidated'!BD44</f>
        <v>0.46862680923007</v>
      </c>
      <c r="Z35" s="20">
        <f>'2. Consolidated'!BE44</f>
        <v>0.503306942164719</v>
      </c>
      <c r="AA35" s="21">
        <f>'2. Consolidated'!BF44</f>
        <v>0.483938301101225</v>
      </c>
      <c r="AB35" s="20">
        <f>'2. Consolidated'!BG44</f>
        <v>0.482589865917549</v>
      </c>
      <c r="AC35" s="20">
        <f>'2. Consolidated'!BH44</f>
        <v>0.493976910518542</v>
      </c>
      <c r="AD35" s="20">
        <f>'2. Consolidated'!BI44</f>
        <v>0.511421413037089</v>
      </c>
      <c r="AE35" s="20">
        <f>'2. Consolidated'!BJ44</f>
        <v>0.541685444464136</v>
      </c>
      <c r="AF35" s="21">
        <f>'2. Consolidated'!BK44</f>
        <v>0.511696422782538</v>
      </c>
      <c r="AG35" s="20">
        <f>'2. Consolidated'!BL44</f>
        <v>0.504152356205087</v>
      </c>
      <c r="AH35" s="20">
        <f>'2. Consolidated'!BM44</f>
        <v>0.515728314407955</v>
      </c>
      <c r="AI35" s="20">
        <f>'2. Consolidated'!BN44</f>
        <v>0.522032715488972</v>
      </c>
      <c r="AJ35" s="20">
        <f>'2. Consolidated'!BO44</f>
        <v>0.562410502992026</v>
      </c>
      <c r="AK35" s="21">
        <f>'2. Consolidated'!BP44</f>
        <v>0.531291746392564</v>
      </c>
      <c r="AL35" s="20">
        <f>'2. Consolidated'!BQ44</f>
        <v>0.530598455301321</v>
      </c>
      <c r="AM35" s="20">
        <f>'2. Consolidated'!BR44</f>
        <v>0.547607463718037</v>
      </c>
      <c r="AN35" s="20">
        <f>'2. Consolidated'!BS44</f>
        <v>0.54407046030589</v>
      </c>
      <c r="AO35" s="20">
        <f>'2. Consolidated'!BT44</f>
        <v>0.572682700362668</v>
      </c>
      <c r="AP35" s="21">
        <f>'2. Consolidated'!BU44</f>
        <v>0.552345134398457</v>
      </c>
      <c r="AQ35" s="20">
        <f>'2. Consolidated'!BV44</f>
        <v>0.539066744214287</v>
      </c>
      <c r="AR35" s="20">
        <f>'2. Consolidated'!BW44</f>
        <v>0.549946114346263</v>
      </c>
      <c r="AS35" s="20">
        <f>'2. Consolidated'!BX44</f>
        <v>0.551275026251504</v>
      </c>
      <c r="AT35" s="20">
        <f>'2. Consolidated'!BY44</f>
        <v>0.58020123206518</v>
      </c>
      <c r="AU35" s="21">
        <f>'2. Consolidated'!BZ44</f>
        <v>0.558738530634564</v>
      </c>
      <c r="AV35" s="20">
        <f>'2. Consolidated'!CA44</f>
        <v>0.512916396967921</v>
      </c>
      <c r="AW35" s="20">
        <f>'2. Consolidated'!CB44</f>
        <v>0.542117876895748</v>
      </c>
      <c r="AX35" s="20">
        <f>'2. Consolidated'!CC44</f>
        <v>0.56142778134749</v>
      </c>
      <c r="AY35" s="20">
        <f>'2. Consolidated'!CD44</f>
        <v>0.585547685814229</v>
      </c>
      <c r="AZ35" s="21">
        <f>'2. Consolidated'!CE44</f>
        <v>0.559758784882823</v>
      </c>
      <c r="BA35" s="20">
        <f>'2. Consolidated'!CF44</f>
        <v>0.571002026148321</v>
      </c>
      <c r="BB35" s="20">
        <f>'2. Consolidated'!CG44</f>
        <v>0.580915168569534</v>
      </c>
      <c r="BC35" s="20">
        <f>'2. Consolidated'!CH44</f>
        <v>0.571829144779343</v>
      </c>
      <c r="BD35" s="20">
        <f>'2. Consolidated'!CI44</f>
        <v>0.58060422344892</v>
      </c>
      <c r="BE35" s="21">
        <f>'2. Consolidated'!CJ44</f>
        <v>0.576759772893242</v>
      </c>
      <c r="BF35" s="20">
        <f>'2. Consolidated'!CK44</f>
        <v>0.539456436249235</v>
      </c>
      <c r="BG35" s="20">
        <f>'2. Consolidated'!CL44</f>
        <v>0.564930783031673</v>
      </c>
      <c r="BH35" s="20">
        <f>'2. Consolidated'!CM44</f>
        <v>0.559458319802638</v>
      </c>
      <c r="BI35" s="20">
        <f>'2. Consolidated'!CN44</f>
        <v>0.573823939205682</v>
      </c>
      <c r="BJ35" s="21">
        <f>'2. Consolidated'!CO44</f>
        <v>0.561649453216182</v>
      </c>
      <c r="BK35" s="20">
        <f>'2. Consolidated'!CP44</f>
        <v>0.575174730806601</v>
      </c>
      <c r="BL35" s="20">
        <f>'2. Consolidated'!CQ44</f>
        <v>0.587783619602882</v>
      </c>
      <c r="BM35" s="20">
        <f>'2. Consolidated'!CR44</f>
        <v>0.580874033330641</v>
      </c>
      <c r="BN35" s="20">
        <f>'2. Consolidated'!CS44</f>
        <v>0.593873270219397</v>
      </c>
      <c r="BO35" s="21">
        <f>'2. Consolidated'!CT44</f>
        <v>0.585606736804987</v>
      </c>
      <c r="BP35" s="20">
        <f>'2. Consolidated'!CU44</f>
        <v>0.577243512694832</v>
      </c>
      <c r="BQ35" s="20">
        <f>'2. Consolidated'!CV44</f>
        <v>0.595587745320905</v>
      </c>
      <c r="BR35" s="20">
        <f>'2. Consolidated'!CW44</f>
        <v>0.584816369447481</v>
      </c>
      <c r="BS35" s="20">
        <f>'2. Consolidated'!CX44</f>
        <v>0.604168299184521</v>
      </c>
      <c r="BT35" s="21">
        <f>'2. Consolidated'!CY44</f>
        <v>0.592249374440765</v>
      </c>
      <c r="BU35" s="20">
        <f>'2. Consolidated'!CZ44</f>
        <v>0.583434992786819</v>
      </c>
      <c r="BV35" s="20">
        <f>'2. Consolidated'!DA44</f>
        <v>0.58497975819127</v>
      </c>
      <c r="BW35" s="20">
        <f>'2. Consolidated'!DB44</f>
        <v>0.555713350377253</v>
      </c>
      <c r="BX35" s="20">
        <f>'2. Consolidated'!DC44</f>
        <v>0.548749574612839</v>
      </c>
      <c r="BY35" s="21">
        <f>'2. Consolidated'!DD44</f>
        <v>0.566005440167168</v>
      </c>
      <c r="BZ35" s="20">
        <f>'2. Consolidated'!DE44</f>
        <v>0.541680035183644</v>
      </c>
      <c r="CA35" s="20">
        <f>'2. Consolidated'!DF44</f>
        <v>0.605174383008001</v>
      </c>
      <c r="CB35" s="20">
        <f>'2. Consolidated'!DG44</f>
        <v>0.530713350377253</v>
      </c>
      <c r="CC35" s="20">
        <f>'2. Consolidated'!DH44</f>
        <v>0.548749574612839</v>
      </c>
      <c r="CD35" s="21">
        <f>'2. Consolidated'!DI44</f>
        <v>0.556112412327286</v>
      </c>
      <c r="CE35" s="20">
        <f>'2. Consolidated'!DJ44</f>
        <v>0.544680035183644</v>
      </c>
      <c r="CF35" s="20">
        <f>'2. Consolidated'!DK44</f>
        <v>0.553174383008001</v>
      </c>
      <c r="CG35" s="20">
        <f>'2. Consolidated'!DL44</f>
        <v>0.529213350377253</v>
      </c>
      <c r="CH35" s="20">
        <f>'2. Consolidated'!DM44</f>
        <v>0.547249574612839</v>
      </c>
      <c r="CI35" s="21">
        <f>'2. Consolidated'!DN44</f>
        <v>0.543937424042</v>
      </c>
      <c r="CJ35" s="20">
        <f>'2. Consolidated'!DO44</f>
        <v>0.543680035183644</v>
      </c>
      <c r="CK35" s="20">
        <f>'2. Consolidated'!DP44</f>
        <v>0.552174383008001</v>
      </c>
      <c r="CL35" s="20">
        <f>'2. Consolidated'!DQ44</f>
        <v>0.528213350377253</v>
      </c>
      <c r="CM35" s="20">
        <f>'2. Consolidated'!DR44</f>
        <v>0.546249574612839</v>
      </c>
      <c r="CN35" s="21">
        <f>'2. Consolidated'!DS44</f>
        <v>0.54291790552823</v>
      </c>
    </row>
    <row r="36" ht="15" customHeight="1" spans="2:92">
      <c r="B36" s="50" t="s">
        <v>493</v>
      </c>
      <c r="C36" s="51">
        <f>'2. Consolidated'!AH45</f>
        <v>498.048390763808</v>
      </c>
      <c r="D36" s="51">
        <f>'2. Consolidated'!AI45</f>
        <v>473.574096517975</v>
      </c>
      <c r="E36" s="51">
        <f>'2. Consolidated'!AJ45</f>
        <v>74.2018901534736</v>
      </c>
      <c r="F36" s="51">
        <f>'2. Consolidated'!AK45</f>
        <v>-219.966767308896</v>
      </c>
      <c r="G36" s="52">
        <f>'2. Consolidated'!AL45</f>
        <v>139.161921741569</v>
      </c>
      <c r="H36" s="51">
        <f>'2. Consolidated'!AM45</f>
        <v>-370.111622168225</v>
      </c>
      <c r="I36" s="51">
        <f>'2. Consolidated'!AN45</f>
        <v>-238.280751615589</v>
      </c>
      <c r="J36" s="51">
        <f>'2. Consolidated'!AO45</f>
        <v>-44.2220884367128</v>
      </c>
      <c r="K36" s="51">
        <f>'2. Consolidated'!AP45</f>
        <v>28.2144490202585</v>
      </c>
      <c r="L36" s="52">
        <f>'2. Consolidated'!AQ45</f>
        <v>-121.859009366201</v>
      </c>
      <c r="M36" s="51">
        <f>'2. Consolidated'!AR45</f>
        <v>-567.194382847171</v>
      </c>
      <c r="N36" s="51">
        <f>'2. Consolidated'!AS45</f>
        <v>-113.218089293808</v>
      </c>
      <c r="O36" s="51">
        <f>'2. Consolidated'!AT45</f>
        <v>-152.271429266194</v>
      </c>
      <c r="P36" s="51">
        <f>'2. Consolidated'!AU45</f>
        <v>-303.109715835272</v>
      </c>
      <c r="Q36" s="52">
        <f>'2. Consolidated'!AV45</f>
        <v>-287.066224747915</v>
      </c>
      <c r="R36" s="51">
        <f>'2. Consolidated'!AW45</f>
        <v>151.950015979007</v>
      </c>
      <c r="S36" s="51">
        <f>'2. Consolidated'!AX45</f>
        <v>-347.392363284134</v>
      </c>
      <c r="T36" s="51">
        <f>'2. Consolidated'!AY45</f>
        <v>-352.642832344682</v>
      </c>
      <c r="U36" s="51">
        <f>'2. Consolidated'!AZ45</f>
        <v>-205.141975148583</v>
      </c>
      <c r="V36" s="52">
        <f>'2. Consolidated'!BA45</f>
        <v>-192.898520252466</v>
      </c>
      <c r="W36" s="51">
        <f>'2. Consolidated'!BB45</f>
        <v>-228.492098625147</v>
      </c>
      <c r="X36" s="51">
        <f>'2. Consolidated'!BC45</f>
        <v>-369.866627807882</v>
      </c>
      <c r="Y36" s="51">
        <f>'2. Consolidated'!BD45</f>
        <v>-346.874808442272</v>
      </c>
      <c r="Z36" s="51">
        <f>'2. Consolidated'!BE45</f>
        <v>-112.91616153994</v>
      </c>
      <c r="AA36" s="52">
        <f>'2. Consolidated'!BF45</f>
        <v>-247.270602109842</v>
      </c>
      <c r="AB36" s="51">
        <f>'2. Consolidated'!BG45</f>
        <v>-34.9186348954972</v>
      </c>
      <c r="AC36" s="51">
        <f>'2. Consolidated'!BH45</f>
        <v>259.408848237445</v>
      </c>
      <c r="AD36" s="51">
        <f>'2. Consolidated'!BI45</f>
        <v>427.946038070193</v>
      </c>
      <c r="AE36" s="51">
        <f>'2. Consolidated'!BJ45</f>
        <v>383.78502299417</v>
      </c>
      <c r="AF36" s="52">
        <f>'2. Consolidated'!BK45</f>
        <v>277.581216813128</v>
      </c>
      <c r="AG36" s="51">
        <f>'2. Consolidated'!BL45</f>
        <v>215.62490287538</v>
      </c>
      <c r="AH36" s="51">
        <f>'2. Consolidated'!BM45</f>
        <v>217.514038894137</v>
      </c>
      <c r="AI36" s="51">
        <f>'2. Consolidated'!BN45</f>
        <v>106.113024518824</v>
      </c>
      <c r="AJ36" s="51">
        <f>'2. Consolidated'!BO45</f>
        <v>207.250585278899</v>
      </c>
      <c r="AK36" s="52">
        <f>'2. Consolidated'!BP45</f>
        <v>195.953236100263</v>
      </c>
      <c r="AL36" s="51">
        <f>'2. Consolidated'!BQ45</f>
        <v>264.460990962343</v>
      </c>
      <c r="AM36" s="51">
        <f>'2. Consolidated'!BR45</f>
        <v>318.791493100821</v>
      </c>
      <c r="AN36" s="51">
        <f>'2. Consolidated'!BS45</f>
        <v>220.377448169181</v>
      </c>
      <c r="AO36" s="51">
        <f>'2. Consolidated'!BT45</f>
        <v>102.72197370642</v>
      </c>
      <c r="AP36" s="52">
        <f>'2. Consolidated'!BU45</f>
        <v>210.533880058927</v>
      </c>
      <c r="AQ36" s="51">
        <f>'2. Consolidated'!BV45</f>
        <v>84.6828891296625</v>
      </c>
      <c r="AR36" s="51">
        <f>'2. Consolidated'!BW45</f>
        <v>23.3865062822547</v>
      </c>
      <c r="AS36" s="51">
        <f>'2. Consolidated'!BX45</f>
        <v>72.0456594561381</v>
      </c>
      <c r="AT36" s="51">
        <f>'2. Consolidated'!BY45</f>
        <v>75.1853170251138</v>
      </c>
      <c r="AU36" s="52">
        <f>'2. Consolidated'!BZ45</f>
        <v>63.9339623610724</v>
      </c>
      <c r="AV36" s="51">
        <f>'2. Consolidated'!CA45</f>
        <v>-261.503472463657</v>
      </c>
      <c r="AW36" s="51">
        <f>'2. Consolidated'!CB45</f>
        <v>-78.2823745051531</v>
      </c>
      <c r="AX36" s="51">
        <f>'2. Consolidated'!CC45</f>
        <v>101.52755095986</v>
      </c>
      <c r="AY36" s="51">
        <f>'2. Consolidated'!CD45</f>
        <v>53.4645374904941</v>
      </c>
      <c r="AZ36" s="52">
        <f>'2. Consolidated'!CE45</f>
        <v>10.2025424825847</v>
      </c>
      <c r="BA36" s="51">
        <f>'2. Consolidated'!CF45</f>
        <v>580.856291803992</v>
      </c>
      <c r="BB36" s="51">
        <f>'2. Consolidated'!CG45</f>
        <v>387.972916737862</v>
      </c>
      <c r="BC36" s="51">
        <f>'2. Consolidated'!CH45</f>
        <v>104.013634318537</v>
      </c>
      <c r="BD36" s="51">
        <f>'2. Consolidated'!CI45</f>
        <v>-49.434623653094</v>
      </c>
      <c r="BE36" s="52">
        <f>'2. Consolidated'!CJ45</f>
        <v>170.009880104196</v>
      </c>
      <c r="BF36" s="51">
        <f>'2. Consolidated'!CK45</f>
        <v>-315.455898990853</v>
      </c>
      <c r="BG36" s="51">
        <f>'2. Consolidated'!CL45</f>
        <v>-159.843855378604</v>
      </c>
      <c r="BH36" s="51">
        <f>'2. Consolidated'!CM45</f>
        <v>-123.708249767057</v>
      </c>
      <c r="BI36" s="51">
        <f>'2. Consolidated'!CN45</f>
        <v>-67.802842432374</v>
      </c>
      <c r="BJ36" s="52">
        <f>'2. Consolidated'!CO45</f>
        <v>-151.103196770607</v>
      </c>
      <c r="BK36" s="51">
        <f>'2. Consolidated'!CP45</f>
        <v>357.182945573652</v>
      </c>
      <c r="BL36" s="51">
        <f>'2. Consolidated'!CQ45</f>
        <v>228.528365712083</v>
      </c>
      <c r="BM36" s="51">
        <f>'2. Consolidated'!CR45</f>
        <v>214.157135280039</v>
      </c>
      <c r="BN36" s="51">
        <f>'2. Consolidated'!CS45</f>
        <v>200.493310137146</v>
      </c>
      <c r="BO36" s="52">
        <f>'2. Consolidated'!CT45</f>
        <v>239.572835888051</v>
      </c>
      <c r="BP36" s="51">
        <f>'2. Consolidated'!CU45</f>
        <v>20.6878188823145</v>
      </c>
      <c r="BQ36" s="51">
        <f>'2. Consolidated'!CV45</f>
        <v>78.0412571802302</v>
      </c>
      <c r="BR36" s="51">
        <f>'2. Consolidated'!CW45</f>
        <v>39.4233611683958</v>
      </c>
      <c r="BS36" s="51">
        <f>'2. Consolidated'!CX45</f>
        <v>102.95028965124</v>
      </c>
      <c r="BT36" s="52">
        <f>'2. Consolidated'!CY45</f>
        <v>66.426376357781</v>
      </c>
      <c r="BU36" s="51">
        <f>'2. Consolidated'!CZ45</f>
        <v>61.9148009198678</v>
      </c>
      <c r="BV36" s="51">
        <f>'2. Consolidated'!DA45</f>
        <v>-106.07987129635</v>
      </c>
      <c r="BW36" s="51">
        <f>'2. Consolidated'!DB45</f>
        <v>-291.030190702284</v>
      </c>
      <c r="BX36" s="51">
        <f>'2. Consolidated'!DC45</f>
        <v>-554.187245716816</v>
      </c>
      <c r="BY36" s="52">
        <f>'2. Consolidated'!DD45</f>
        <v>-262.439342735969</v>
      </c>
      <c r="BZ36" s="51">
        <f>'2. Consolidated'!DE45</f>
        <v>-417.549576031748</v>
      </c>
      <c r="CA36" s="51">
        <f>'2. Consolidated'!DF45</f>
        <v>201.946248167311</v>
      </c>
      <c r="CB36" s="51">
        <f>'2. Consolidated'!DG45</f>
        <v>-250</v>
      </c>
      <c r="CC36" s="51">
        <f>'2. Consolidated'!DH45</f>
        <v>0</v>
      </c>
      <c r="CD36" s="52">
        <f>'2. Consolidated'!DI45</f>
        <v>-98.9302783988233</v>
      </c>
      <c r="CE36" s="51">
        <f>'2. Consolidated'!DJ45</f>
        <v>30</v>
      </c>
      <c r="CF36" s="51">
        <f>'2. Consolidated'!DK45</f>
        <v>-520</v>
      </c>
      <c r="CG36" s="51">
        <f>'2. Consolidated'!DL45</f>
        <v>-15</v>
      </c>
      <c r="CH36" s="51">
        <f>'2. Consolidated'!DM45</f>
        <v>-15</v>
      </c>
      <c r="CI36" s="52">
        <f>'2. Consolidated'!DN45</f>
        <v>-121.749882852861</v>
      </c>
      <c r="CJ36" s="51">
        <f>'2. Consolidated'!DO45</f>
        <v>-10</v>
      </c>
      <c r="CK36" s="51">
        <f>'2. Consolidated'!DP45</f>
        <v>-10</v>
      </c>
      <c r="CL36" s="51">
        <f>'2. Consolidated'!DQ45</f>
        <v>-10</v>
      </c>
      <c r="CM36" s="51">
        <f>'2. Consolidated'!DR45</f>
        <v>-10</v>
      </c>
      <c r="CN36" s="52">
        <f>'2. Consolidated'!DS45</f>
        <v>-10.1951851376914</v>
      </c>
    </row>
    <row r="37" ht="15" customHeight="1" spans="2:92">
      <c r="B37" s="39" t="s">
        <v>74</v>
      </c>
      <c r="C37" s="40">
        <f>'2. Consolidated'!AH47</f>
        <v>-58.04</v>
      </c>
      <c r="D37" s="40">
        <f>'2. Consolidated'!AI47</f>
        <v>-62.584</v>
      </c>
      <c r="E37" s="40">
        <f>'2. Consolidated'!AJ47</f>
        <v>-68.792</v>
      </c>
      <c r="F37" s="40">
        <f>'2. Consolidated'!AK47</f>
        <v>-92.951</v>
      </c>
      <c r="G37" s="41">
        <f>'2. Consolidated'!AL47</f>
        <v>-282.367</v>
      </c>
      <c r="H37" s="40">
        <f>'2. Consolidated'!AM47</f>
        <v>-84.199</v>
      </c>
      <c r="I37" s="40">
        <f>'2. Consolidated'!AN47</f>
        <v>-85.567</v>
      </c>
      <c r="J37" s="40">
        <f>'2. Consolidated'!AO47</f>
        <v>-94.689</v>
      </c>
      <c r="K37" s="40">
        <f>'2. Consolidated'!AP47</f>
        <v>-121.932</v>
      </c>
      <c r="L37" s="41">
        <f>'2. Consolidated'!AQ47</f>
        <v>-386.387</v>
      </c>
      <c r="M37" s="40">
        <f>'2. Consolidated'!AR47</f>
        <v>-104.836</v>
      </c>
      <c r="N37" s="40">
        <f>'2. Consolidated'!AS47</f>
        <v>-106.969</v>
      </c>
      <c r="O37" s="40">
        <f>'2. Consolidated'!AT47</f>
        <v>-112.27</v>
      </c>
      <c r="P37" s="40">
        <f>'2. Consolidated'!AU47</f>
        <v>-124.643</v>
      </c>
      <c r="Q37" s="41">
        <f>'2. Consolidated'!AV47</f>
        <v>-448.718</v>
      </c>
      <c r="R37" s="40">
        <f>'2. Consolidated'!AW47</f>
        <v>-125.943</v>
      </c>
      <c r="S37" s="40">
        <f>'2. Consolidated'!AX47</f>
        <v>-129.419</v>
      </c>
      <c r="T37" s="40">
        <f>'2. Consolidated'!AY47</f>
        <v>-129.932</v>
      </c>
      <c r="U37" s="40">
        <f>'2. Consolidated'!AZ47</f>
        <v>-152.853</v>
      </c>
      <c r="V37" s="41">
        <f>'2. Consolidated'!BA47</f>
        <v>-538.147</v>
      </c>
      <c r="W37" s="40">
        <f>'2. Consolidated'!BB47</f>
        <v>-137.841</v>
      </c>
      <c r="X37" s="40">
        <f>'2. Consolidated'!BC47</f>
        <v>-145.446</v>
      </c>
      <c r="Y37" s="40">
        <f>'2. Consolidated'!BD47</f>
        <v>-156.619</v>
      </c>
      <c r="Z37" s="40">
        <f>'2. Consolidated'!BE47</f>
        <v>-188.184</v>
      </c>
      <c r="AA37" s="41">
        <f>'2. Consolidated'!BF47</f>
        <v>-628.09</v>
      </c>
      <c r="AB37" s="40">
        <f>'2. Consolidated'!BG47</f>
        <v>-181.542</v>
      </c>
      <c r="AC37" s="40">
        <f>'2. Consolidated'!BH47</f>
        <v>-180.202</v>
      </c>
      <c r="AD37" s="40">
        <f>'2. Consolidated'!BI47</f>
        <v>-185.451</v>
      </c>
      <c r="AE37" s="40">
        <f>'2. Consolidated'!BJ47</f>
        <v>-231.27</v>
      </c>
      <c r="AF37" s="41">
        <f>'2. Consolidated'!BK47</f>
        <v>-778.465</v>
      </c>
      <c r="AG37" s="40">
        <f>'2. Consolidated'!BL47</f>
        <v>-199.141</v>
      </c>
      <c r="AH37" s="40">
        <f>'2. Consolidated'!BM47</f>
        <v>-225.524</v>
      </c>
      <c r="AI37" s="40">
        <f>'2. Consolidated'!BN47</f>
        <v>-215.367</v>
      </c>
      <c r="AJ37" s="40">
        <f>'2. Consolidated'!BO47</f>
        <v>-264.232</v>
      </c>
      <c r="AK37" s="41">
        <f>'2. Consolidated'!BP47</f>
        <v>-904.264</v>
      </c>
      <c r="AL37" s="40">
        <f>'2. Consolidated'!BQ47</f>
        <v>-240.428</v>
      </c>
      <c r="AM37" s="40">
        <f>'2. Consolidated'!BR47</f>
        <v>-261.986</v>
      </c>
      <c r="AN37" s="40">
        <f>'2. Consolidated'!BS47</f>
        <v>-270.874</v>
      </c>
      <c r="AO37" s="40">
        <f>'2. Consolidated'!BT47</f>
        <v>-337.163</v>
      </c>
      <c r="AP37" s="41">
        <f>'2. Consolidated'!BU47</f>
        <v>-1110.451</v>
      </c>
      <c r="AQ37" s="40">
        <f>'2. Consolidated'!BV47</f>
        <v>-292.908</v>
      </c>
      <c r="AR37" s="40">
        <f>'2. Consolidated'!BW47</f>
        <v>-317.814</v>
      </c>
      <c r="AS37" s="40">
        <f>'2. Consolidated'!BX47</f>
        <v>-329.208</v>
      </c>
      <c r="AT37" s="40">
        <f>'2. Consolidated'!BY47</f>
        <v>-394.339</v>
      </c>
      <c r="AU37" s="41">
        <f>'2. Consolidated'!BZ47</f>
        <v>-1334.269</v>
      </c>
      <c r="AV37" s="40">
        <f>'2. Consolidated'!CA47</f>
        <v>-301.651</v>
      </c>
      <c r="AW37" s="40">
        <f>'2. Consolidated'!CB47</f>
        <v>-353.628</v>
      </c>
      <c r="AX37" s="40">
        <f>'2. Consolidated'!CC47</f>
        <v>-411.662</v>
      </c>
      <c r="AY37" s="40">
        <f>'2. Consolidated'!CD47</f>
        <v>-544.831</v>
      </c>
      <c r="AZ37" s="41">
        <f>'2. Consolidated'!CE47</f>
        <v>-1611.772</v>
      </c>
      <c r="BA37" s="40">
        <f>'2. Consolidated'!CF47</f>
        <v>-496.634</v>
      </c>
      <c r="BB37" s="40">
        <f>'2. Consolidated'!CG47</f>
        <v>-541.317</v>
      </c>
      <c r="BC37" s="40">
        <f>'2. Consolidated'!CH47</f>
        <v>-545.124</v>
      </c>
      <c r="BD37" s="40">
        <f>'2. Consolidated'!CI47</f>
        <v>-641.959</v>
      </c>
      <c r="BE37" s="41">
        <f>'2. Consolidated'!CJ47</f>
        <v>-2225.034</v>
      </c>
      <c r="BF37" s="40">
        <f>'2. Consolidated'!CK47</f>
        <v>-607.851</v>
      </c>
      <c r="BG37" s="40">
        <f>'2. Consolidated'!CL47</f>
        <v>-662.253</v>
      </c>
      <c r="BH37" s="40">
        <f>'2. Consolidated'!CM47</f>
        <v>-684.236</v>
      </c>
      <c r="BI37" s="40">
        <f>'2. Consolidated'!CN47</f>
        <v>-803.107</v>
      </c>
      <c r="BJ37" s="41">
        <f>'2. Consolidated'!CO47</f>
        <v>-2757.447</v>
      </c>
      <c r="BK37" s="40">
        <f>'2. Consolidated'!CP47</f>
        <v>-747.513</v>
      </c>
      <c r="BL37" s="40">
        <f>'2. Consolidated'!CQ47</f>
        <v>-817.375</v>
      </c>
      <c r="BM37" s="40">
        <f>'2. Consolidated'!CR47</f>
        <v>-842.795</v>
      </c>
      <c r="BN37" s="40">
        <f>'2. Consolidated'!CS47</f>
        <v>-989.535</v>
      </c>
      <c r="BO37" s="41">
        <f>'2. Consolidated'!CT47</f>
        <v>-3397.218</v>
      </c>
      <c r="BP37" s="40">
        <f>'2. Consolidated'!CU47</f>
        <v>-842.426</v>
      </c>
      <c r="BQ37" s="40">
        <f>'2. Consolidated'!CV47</f>
        <v>-871.959</v>
      </c>
      <c r="BR37" s="40">
        <f>'2. Consolidated'!CW47</f>
        <v>-909.827</v>
      </c>
      <c r="BS37" s="40">
        <f>'2. Consolidated'!CX47</f>
        <v>-1138.167</v>
      </c>
      <c r="BT37" s="41">
        <f>'2. Consolidated'!CY47</f>
        <v>-3762.379</v>
      </c>
      <c r="BU37" s="40">
        <f>'2. Consolidated'!CZ47</f>
        <v>-942.871</v>
      </c>
      <c r="BV37" s="40">
        <f>'2. Consolidated'!DA47</f>
        <v>-951.658</v>
      </c>
      <c r="BW37" s="40">
        <f>'2. Consolidated'!DB47</f>
        <v>-988.254</v>
      </c>
      <c r="BX37" s="40">
        <f>'2. Consolidated'!DC47</f>
        <v>-1183.773</v>
      </c>
      <c r="BY37" s="41">
        <f>'2. Consolidated'!DD47</f>
        <v>-4066.556</v>
      </c>
      <c r="BZ37" s="40">
        <f>'2. Consolidated'!DE47</f>
        <v>-1059.988</v>
      </c>
      <c r="CA37" s="40">
        <f>'2. Consolidated'!DF47</f>
        <v>-1006.332</v>
      </c>
      <c r="CB37" s="40">
        <f>'2. Consolidated'!DG47</f>
        <v>-1077.08820973605</v>
      </c>
      <c r="CC37" s="40">
        <f>'2. Consolidated'!DH47</f>
        <v>-1159.10052946768</v>
      </c>
      <c r="CD37" s="41">
        <f>'2. Consolidated'!DI47</f>
        <v>-4302.50873920373</v>
      </c>
      <c r="CE37" s="40">
        <f>'2. Consolidated'!DJ47</f>
        <v>-1047.99399858102</v>
      </c>
      <c r="CF37" s="40">
        <f>'2. Consolidated'!DK47</f>
        <v>-1005.47849451607</v>
      </c>
      <c r="CG37" s="40">
        <f>'2. Consolidated'!DL47</f>
        <v>-1089.51944166774</v>
      </c>
      <c r="CH37" s="40">
        <f>'2. Consolidated'!DM47</f>
        <v>-1168.07370631745</v>
      </c>
      <c r="CI37" s="41">
        <f>'2. Consolidated'!DN47</f>
        <v>-4311.06564108227</v>
      </c>
      <c r="CJ37" s="40">
        <f>'2. Consolidated'!DO47</f>
        <v>-1073.68809961144</v>
      </c>
      <c r="CK37" s="40">
        <f>'2. Consolidated'!DP47</f>
        <v>-1028.71386353062</v>
      </c>
      <c r="CL37" s="40">
        <f>'2. Consolidated'!DQ47</f>
        <v>-1118.44884499722</v>
      </c>
      <c r="CM37" s="40">
        <f>'2. Consolidated'!DR47</f>
        <v>-1191.5850492989</v>
      </c>
      <c r="CN37" s="41">
        <f>'2. Consolidated'!DS47</f>
        <v>-4412.43585743819</v>
      </c>
    </row>
    <row r="38" ht="15" customHeight="1" spans="2:92">
      <c r="B38" s="42" t="s">
        <v>359</v>
      </c>
      <c r="C38" s="20">
        <f>'2. Consolidated'!AH48</f>
        <v>0.38576510756154</v>
      </c>
      <c r="D38" s="20">
        <f>'2. Consolidated'!AI48</f>
        <v>0.35889697101292</v>
      </c>
      <c r="E38" s="20">
        <f>'2. Consolidated'!AJ48</f>
        <v>0.263258410459821</v>
      </c>
      <c r="F38" s="20">
        <f>'2. Consolidated'!AK48</f>
        <v>0.288087913306172</v>
      </c>
      <c r="G38" s="21">
        <f>'2. Consolidated'!AL48</f>
        <v>0.316052685545964</v>
      </c>
      <c r="H38" s="20">
        <f>'2. Consolidated'!AM48</f>
        <v>0.450706409372846</v>
      </c>
      <c r="I38" s="20">
        <f>'2. Consolidated'!AN48</f>
        <v>0.367234436916784</v>
      </c>
      <c r="J38" s="20">
        <f>'2. Consolidated'!AO48</f>
        <v>0.376453657402023</v>
      </c>
      <c r="K38" s="20">
        <f>'2. Consolidated'!AP48</f>
        <v>0.311787931275618</v>
      </c>
      <c r="L38" s="21">
        <f>'2. Consolidated'!AQ48</f>
        <v>0.368385824122507</v>
      </c>
      <c r="M38" s="20">
        <f>'2. Consolidated'!AR48</f>
        <v>0.24509792277818</v>
      </c>
      <c r="N38" s="20">
        <f>'2. Consolidated'!AS48</f>
        <v>0.250119789171059</v>
      </c>
      <c r="O38" s="20">
        <f>'2. Consolidated'!AT48</f>
        <v>0.185670986070188</v>
      </c>
      <c r="P38" s="20">
        <f>'2. Consolidated'!AU48</f>
        <v>0.0222337040317553</v>
      </c>
      <c r="Q38" s="21">
        <f>'2. Consolidated'!AV48</f>
        <v>0.161317539151162</v>
      </c>
      <c r="R38" s="20">
        <f>'2. Consolidated'!AW48</f>
        <v>0.201333511389217</v>
      </c>
      <c r="S38" s="20">
        <f>'2. Consolidated'!AX48</f>
        <v>0.209873888696725</v>
      </c>
      <c r="T38" s="20">
        <f>'2. Consolidated'!AY48</f>
        <v>0.15731718179389</v>
      </c>
      <c r="U38" s="20">
        <f>'2. Consolidated'!AZ48</f>
        <v>0.226326388164598</v>
      </c>
      <c r="V38" s="21">
        <f>'2. Consolidated'!BA48</f>
        <v>0.199298891508698</v>
      </c>
      <c r="W38" s="20">
        <f>'2. Consolidated'!BB48</f>
        <v>0.0944713084490603</v>
      </c>
      <c r="X38" s="20">
        <f>'2. Consolidated'!BC48</f>
        <v>0.123838076325733</v>
      </c>
      <c r="Y38" s="20">
        <f>'2. Consolidated'!BD48</f>
        <v>0.205392051226796</v>
      </c>
      <c r="Z38" s="20">
        <f>'2. Consolidated'!BE48</f>
        <v>0.231143647818492</v>
      </c>
      <c r="AA38" s="21">
        <f>'2. Consolidated'!BF48</f>
        <v>0.167134630500588</v>
      </c>
      <c r="AB38" s="20">
        <f>'2. Consolidated'!BG48</f>
        <v>0.317039197336061</v>
      </c>
      <c r="AC38" s="20">
        <f>'2. Consolidated'!BH48</f>
        <v>0.238961538990416</v>
      </c>
      <c r="AD38" s="20">
        <f>'2. Consolidated'!BI48</f>
        <v>0.184090052930998</v>
      </c>
      <c r="AE38" s="20">
        <f>'2. Consolidated'!BJ48</f>
        <v>0.228956765718658</v>
      </c>
      <c r="AF38" s="21">
        <f>'2. Consolidated'!BK48</f>
        <v>0.239416325685809</v>
      </c>
      <c r="AG38" s="20">
        <f>'2. Consolidated'!BL48</f>
        <v>0.0969417545251237</v>
      </c>
      <c r="AH38" s="20">
        <f>'2. Consolidated'!BM48</f>
        <v>0.251506642545588</v>
      </c>
      <c r="AI38" s="20">
        <f>'2. Consolidated'!BN48</f>
        <v>0.161314848666225</v>
      </c>
      <c r="AJ38" s="20">
        <f>'2. Consolidated'!BO48</f>
        <v>0.142526051800925</v>
      </c>
      <c r="AK38" s="21">
        <f>'2. Consolidated'!BP48</f>
        <v>0.161598787357171</v>
      </c>
      <c r="AL38" s="20">
        <f>'2. Consolidated'!BQ48</f>
        <v>0.207325462862997</v>
      </c>
      <c r="AM38" s="20">
        <f>'2. Consolidated'!BR48</f>
        <v>0.161676806016211</v>
      </c>
      <c r="AN38" s="20">
        <f>'2. Consolidated'!BS48</f>
        <v>0.257732150236573</v>
      </c>
      <c r="AO38" s="20">
        <f>'2. Consolidated'!BT48</f>
        <v>0.276011232553211</v>
      </c>
      <c r="AP38" s="21">
        <f>'2. Consolidated'!BU48</f>
        <v>0.228016375748675</v>
      </c>
      <c r="AQ38" s="20">
        <f>'2. Consolidated'!BV48</f>
        <v>0.218277405293893</v>
      </c>
      <c r="AR38" s="20">
        <f>'2. Consolidated'!BW48</f>
        <v>0.21309535624041</v>
      </c>
      <c r="AS38" s="20">
        <f>'2. Consolidated'!BX48</f>
        <v>0.215354740580491</v>
      </c>
      <c r="AT38" s="20">
        <f>'2. Consolidated'!BY48</f>
        <v>0.169579698840027</v>
      </c>
      <c r="AU38" s="21">
        <f>'2. Consolidated'!BZ48</f>
        <v>0.20155594438656</v>
      </c>
      <c r="AV38" s="20">
        <f>'2. Consolidated'!CA48</f>
        <v>0.0298489628142624</v>
      </c>
      <c r="AW38" s="20">
        <f>'2. Consolidated'!CB48</f>
        <v>0.112688553682342</v>
      </c>
      <c r="AX38" s="20">
        <f>'2. Consolidated'!CC48</f>
        <v>0.250461714174625</v>
      </c>
      <c r="AY38" s="20">
        <f>'2. Consolidated'!CD48</f>
        <v>0.381631033197325</v>
      </c>
      <c r="AZ38" s="21">
        <f>'2. Consolidated'!CE48</f>
        <v>0.20798129912334</v>
      </c>
      <c r="BA38" s="20">
        <f>'2. Consolidated'!CF48</f>
        <v>0.646386055408402</v>
      </c>
      <c r="BB38" s="20">
        <f>'2. Consolidated'!CG48</f>
        <v>0.530752655332723</v>
      </c>
      <c r="BC38" s="20">
        <f>'2. Consolidated'!CH48</f>
        <v>0.324202865457584</v>
      </c>
      <c r="BD38" s="20">
        <f>'2. Consolidated'!CI48</f>
        <v>0.178271794372934</v>
      </c>
      <c r="BE38" s="21">
        <f>'2. Consolidated'!CJ48</f>
        <v>0.380489299975431</v>
      </c>
      <c r="BF38" s="20">
        <f>'2. Consolidated'!CK48</f>
        <v>0.223941574680751</v>
      </c>
      <c r="BG38" s="20">
        <f>'2. Consolidated'!CL48</f>
        <v>0.223410681726234</v>
      </c>
      <c r="BH38" s="20">
        <f>'2. Consolidated'!CM48</f>
        <v>0.255193313814838</v>
      </c>
      <c r="BI38" s="20">
        <f>'2. Consolidated'!CN48</f>
        <v>0.251025377010058</v>
      </c>
      <c r="BJ38" s="21">
        <f>'2. Consolidated'!CO48</f>
        <v>0.239283085112407</v>
      </c>
      <c r="BK38" s="20">
        <f>'2. Consolidated'!CP48</f>
        <v>0.229763544026415</v>
      </c>
      <c r="BL38" s="20">
        <f>'2. Consolidated'!CQ48</f>
        <v>0.234233744505498</v>
      </c>
      <c r="BM38" s="20">
        <f>'2. Consolidated'!CR48</f>
        <v>0.231731449382961</v>
      </c>
      <c r="BN38" s="20">
        <f>'2. Consolidated'!CS48</f>
        <v>0.232133451706933</v>
      </c>
      <c r="BO38" s="21">
        <f>'2. Consolidated'!CT48</f>
        <v>0.232015701480391</v>
      </c>
      <c r="BP38" s="20">
        <f>'2. Consolidated'!CU48</f>
        <v>0.126971704839916</v>
      </c>
      <c r="BQ38" s="20">
        <f>'2. Consolidated'!CV48</f>
        <v>0.0667796299128307</v>
      </c>
      <c r="BR38" s="20">
        <f>'2. Consolidated'!CW48</f>
        <v>0.0795353555728262</v>
      </c>
      <c r="BS38" s="20">
        <f>'2. Consolidated'!CX48</f>
        <v>0.150203883642317</v>
      </c>
      <c r="BT38" s="21">
        <f>'2. Consolidated'!CY48</f>
        <v>0.10748824479324</v>
      </c>
      <c r="BU38" s="20">
        <f>'2. Consolidated'!CZ48</f>
        <v>0.119233024621747</v>
      </c>
      <c r="BV38" s="20">
        <f>'2. Consolidated'!DA48</f>
        <v>0.0914022333618898</v>
      </c>
      <c r="BW38" s="20">
        <f>'2. Consolidated'!DB48</f>
        <v>0.0861999039377817</v>
      </c>
      <c r="BX38" s="20">
        <f>'2. Consolidated'!DC48</f>
        <v>0.0400696910031657</v>
      </c>
      <c r="BY38" s="21">
        <f>'2. Consolidated'!DD48</f>
        <v>0.0808469853781344</v>
      </c>
      <c r="BZ38" s="20">
        <f>'2. Consolidated'!DE48</f>
        <v>0.124213174442739</v>
      </c>
      <c r="CA38" s="20">
        <f>'2. Consolidated'!DF48</f>
        <v>0.0574513112904005</v>
      </c>
      <c r="CB38" s="20">
        <f>'2. Consolidated'!DG48</f>
        <v>0.0898900583615672</v>
      </c>
      <c r="CC38" s="20">
        <f>'2. Consolidated'!DH48</f>
        <v>-0.0208422311814203</v>
      </c>
      <c r="CD38" s="21">
        <f>'2. Consolidated'!DI48</f>
        <v>0.0580227443575669</v>
      </c>
      <c r="CE38" s="20">
        <f>'2. Consolidated'!DJ48</f>
        <v>-0.0113152237751595</v>
      </c>
      <c r="CF38" s="20">
        <f>'2. Consolidated'!DK48</f>
        <v>-0.000848135092525237</v>
      </c>
      <c r="CG38" s="20">
        <f>'2. Consolidated'!DL48</f>
        <v>0.0115415170450439</v>
      </c>
      <c r="CH38" s="20">
        <f>'2. Consolidated'!DM48</f>
        <v>0.00774150008705132</v>
      </c>
      <c r="CI38" s="21">
        <f>'2. Consolidated'!DN48</f>
        <v>0.00198881685017294</v>
      </c>
      <c r="CJ38" s="20">
        <f>'2. Consolidated'!DO48</f>
        <v>0.0245174123756557</v>
      </c>
      <c r="CK38" s="20">
        <f>'2. Consolidated'!DP48</f>
        <v>0.0231087677571251</v>
      </c>
      <c r="CL38" s="20">
        <f>'2. Consolidated'!DQ48</f>
        <v>0.026552443419646</v>
      </c>
      <c r="CM38" s="20">
        <f>'2. Consolidated'!DR48</f>
        <v>0.0201283042793352</v>
      </c>
      <c r="CN38" s="21">
        <f>'2. Consolidated'!DS48</f>
        <v>0.0235139579852153</v>
      </c>
    </row>
    <row r="39" s="1" customFormat="1" ht="15" customHeight="1" spans="2:92">
      <c r="B39" s="53" t="s">
        <v>186</v>
      </c>
      <c r="C39" s="44">
        <f>'2. Consolidated'!AH49</f>
        <v>0.310739907913053</v>
      </c>
      <c r="D39" s="44">
        <f>'2. Consolidated'!AI49</f>
        <v>0.294758457632946</v>
      </c>
      <c r="E39" s="44">
        <f>'2. Consolidated'!AJ49</f>
        <v>0.298815025888731</v>
      </c>
      <c r="F39" s="44">
        <f>'2. Consolidated'!AK49</f>
        <v>0.250191106804479</v>
      </c>
      <c r="G39" s="45">
        <f>'2. Consolidated'!AL49</f>
        <v>0.282130292684438</v>
      </c>
      <c r="H39" s="44">
        <f>'2. Consolidated'!AM49</f>
        <v>0.294713298658024</v>
      </c>
      <c r="I39" s="44">
        <f>'2. Consolidated'!AN49</f>
        <v>0.302748430832808</v>
      </c>
      <c r="J39" s="44">
        <f>'2. Consolidated'!AO49</f>
        <v>0.299140384852324</v>
      </c>
      <c r="K39" s="44">
        <f>'2. Consolidated'!AP49</f>
        <v>0.25115296124114</v>
      </c>
      <c r="L39" s="45">
        <f>'2. Consolidated'!AQ49</f>
        <v>0.281960626347276</v>
      </c>
      <c r="M39" s="44">
        <f>'2. Consolidated'!AR49</f>
        <v>0.303185243881983</v>
      </c>
      <c r="N39" s="44">
        <f>'2. Consolidated'!AS49</f>
        <v>0.310493363095152</v>
      </c>
      <c r="O39" s="44">
        <f>'2. Consolidated'!AT49</f>
        <v>0.295525138194262</v>
      </c>
      <c r="P39" s="44">
        <f>'2. Consolidated'!AU49</f>
        <v>0.239241218212145</v>
      </c>
      <c r="Q39" s="45">
        <f>'2. Consolidated'!AV49</f>
        <v>0.282001875328371</v>
      </c>
      <c r="R39" s="44">
        <f>'2. Consolidated'!AW49</f>
        <v>0.327449573342901</v>
      </c>
      <c r="S39" s="44">
        <f>'2. Consolidated'!AX49</f>
        <v>0.331226150227653</v>
      </c>
      <c r="T39" s="44">
        <f>'2. Consolidated'!AY49</f>
        <v>0.309807437362302</v>
      </c>
      <c r="U39" s="44">
        <f>'2. Consolidated'!AZ49</f>
        <v>0.253701715046366</v>
      </c>
      <c r="V39" s="45">
        <f>'2. Consolidated'!BA49</f>
        <v>0.299434179476779</v>
      </c>
      <c r="W39" s="44">
        <f>'2. Consolidated'!BB49</f>
        <v>0.325446706835653</v>
      </c>
      <c r="X39" s="44">
        <f>'2. Consolidated'!BC49</f>
        <v>0.321065760137745</v>
      </c>
      <c r="Y39" s="44">
        <f>'2. Consolidated'!BD49</f>
        <v>0.326498406272345</v>
      </c>
      <c r="Z39" s="44">
        <f>'2. Consolidated'!BE49</f>
        <v>0.267202062827641</v>
      </c>
      <c r="AA39" s="45">
        <f>'2. Consolidated'!BF49</f>
        <v>0.304820669315509</v>
      </c>
      <c r="AB39" s="44">
        <f>'2. Consolidated'!BG49</f>
        <v>0.366369602596082</v>
      </c>
      <c r="AC39" s="44">
        <f>'2. Consolidated'!BH49</f>
        <v>0.350233227085439</v>
      </c>
      <c r="AD39" s="44">
        <f>'2. Consolidated'!BI49</f>
        <v>0.340642082525128</v>
      </c>
      <c r="AE39" s="44">
        <f>'2. Consolidated'!BJ49</f>
        <v>0.292769071068689</v>
      </c>
      <c r="AF39" s="45">
        <f>'2. Consolidated'!BK49</f>
        <v>0.332054110404745</v>
      </c>
      <c r="AG39" s="44">
        <f>'2. Consolidated'!BL49</f>
        <v>0.382737499207199</v>
      </c>
      <c r="AH39" s="44">
        <f>'2. Consolidated'!BM49</f>
        <v>0.388129158391475</v>
      </c>
      <c r="AI39" s="44">
        <f>'2. Consolidated'!BN49</f>
        <v>0.347908192441772</v>
      </c>
      <c r="AJ39" s="44">
        <f>'2. Consolidated'!BO49</f>
        <v>0.284486898176361</v>
      </c>
      <c r="AK39" s="45">
        <f>'2. Consolidated'!BP49</f>
        <v>0.341337190626084</v>
      </c>
      <c r="AL39" s="44">
        <f>'2. Consolidated'!BQ49</f>
        <v>0.370056610220623</v>
      </c>
      <c r="AM39" s="44">
        <f>'2. Consolidated'!BR49</f>
        <v>0.362109191430546</v>
      </c>
      <c r="AN39" s="44">
        <f>'2. Consolidated'!BS49</f>
        <v>0.362298118784734</v>
      </c>
      <c r="AO39" s="44">
        <f>'2. Consolidated'!BT49</f>
        <v>0.288800967572281</v>
      </c>
      <c r="AP39" s="45">
        <f>'2. Consolidated'!BU49</f>
        <v>0.337695643275485</v>
      </c>
      <c r="AQ39" s="44">
        <f>'2. Consolidated'!BV49</f>
        <v>0.374411841777289</v>
      </c>
      <c r="AR39" s="44">
        <f>'2. Consolidated'!BW49</f>
        <v>0.359781831025458</v>
      </c>
      <c r="AS39" s="44">
        <f>'2. Consolidated'!BX49</f>
        <v>0.359343243048536</v>
      </c>
      <c r="AT39" s="44">
        <f>'2. Consolidated'!BY49</f>
        <v>0.28217641473183</v>
      </c>
      <c r="AU39" s="45">
        <f>'2. Consolidated'!BZ49</f>
        <v>0.335302777174656</v>
      </c>
      <c r="AV39" s="44">
        <f>'2. Consolidated'!CA49</f>
        <v>0.462681874096957</v>
      </c>
      <c r="AW39" s="44">
        <f>'2. Consolidated'!CB49</f>
        <v>0.391639773097275</v>
      </c>
      <c r="AX39" s="44">
        <f>'2. Consolidated'!CC49</f>
        <v>0.368402023937156</v>
      </c>
      <c r="AY39" s="44">
        <f>'2. Consolidated'!CD49</f>
        <v>0.315013153710503</v>
      </c>
      <c r="AZ39" s="45">
        <f>'2. Consolidated'!CE49</f>
        <v>0.366155369978282</v>
      </c>
      <c r="BA39" s="44">
        <f>'2. Consolidated'!CF49</f>
        <v>0.404931245490087</v>
      </c>
      <c r="BB39" s="44">
        <f>'2. Consolidated'!CG49</f>
        <v>0.373163024311018</v>
      </c>
      <c r="BC39" s="44">
        <f>'2. Consolidated'!CH49</f>
        <v>0.375838463453025</v>
      </c>
      <c r="BD39" s="44">
        <f>'2. Consolidated'!CI49</f>
        <v>0.301514762250759</v>
      </c>
      <c r="BE39" s="45">
        <f>'2. Consolidated'!CJ49</f>
        <v>0.355628928540775</v>
      </c>
      <c r="BF39" s="44">
        <f>'2. Consolidated'!CK49</f>
        <v>0.376736869702001</v>
      </c>
      <c r="BG39" s="44">
        <f>'2. Consolidated'!CL49</f>
        <v>0.35446292085758</v>
      </c>
      <c r="BH39" s="44">
        <f>'2. Consolidated'!CM49</f>
        <v>0.368485138314676</v>
      </c>
      <c r="BI39" s="44">
        <f>'2. Consolidated'!CN49</f>
        <v>0.289738072715649</v>
      </c>
      <c r="BJ39" s="45">
        <f>'2. Consolidated'!CO49</f>
        <v>0.339984079931763</v>
      </c>
      <c r="BK39" s="44">
        <f>'2. Consolidated'!CP49</f>
        <v>0.373608551013799</v>
      </c>
      <c r="BL39" s="44">
        <f>'2. Consolidated'!CQ49</f>
        <v>0.369992734811569</v>
      </c>
      <c r="BM39" s="44">
        <f>'2. Consolidated'!CR49</f>
        <v>0.38235555648307</v>
      </c>
      <c r="BN39" s="44">
        <f>'2. Consolidated'!CS49</f>
        <v>0.308737347910504</v>
      </c>
      <c r="BO39" s="45">
        <f>'2. Consolidated'!CT49</f>
        <v>0.353167670172335</v>
      </c>
      <c r="BP39" s="44">
        <f>'2. Consolidated'!CU49</f>
        <v>0.381379615381655</v>
      </c>
      <c r="BQ39" s="44">
        <f>'2. Consolidated'!CV49</f>
        <v>0.367747918879092</v>
      </c>
      <c r="BR39" s="44">
        <f>'2. Consolidated'!CW49</f>
        <v>0.379622891857835</v>
      </c>
      <c r="BS39" s="44">
        <f>'2. Consolidated'!CX49</f>
        <v>0.315151030168376</v>
      </c>
      <c r="BT39" s="45">
        <f>'2. Consolidated'!CY49</f>
        <v>0.355339462337339</v>
      </c>
      <c r="BU39" s="44">
        <f>'2. Consolidated'!CZ49</f>
        <v>0.3977251060886</v>
      </c>
      <c r="BV39" s="44">
        <f>'2. Consolidated'!DA49</f>
        <v>0.376861571214219</v>
      </c>
      <c r="BW39" s="44">
        <f>'2. Consolidated'!DB49</f>
        <v>0.385146068466671</v>
      </c>
      <c r="BX39" s="44">
        <f>'2. Consolidated'!DC49</f>
        <v>0.325140813793448</v>
      </c>
      <c r="BY39" s="45">
        <f>'2. Consolidated'!DD49</f>
        <v>0.366270603282114</v>
      </c>
      <c r="BZ39" s="44">
        <f>'2. Consolidated'!DE49</f>
        <v>0.428866610050239</v>
      </c>
      <c r="CA39" s="44">
        <f>'2. Consolidated'!DF49</f>
        <v>0.416591772501678</v>
      </c>
      <c r="CB39" s="44">
        <f>'2. Consolidated'!DG49</f>
        <v>0.465146068466671</v>
      </c>
      <c r="CC39" s="44">
        <f>'2. Consolidated'!DH49</f>
        <v>0.355140813793448</v>
      </c>
      <c r="CD39" s="45">
        <f>'2. Consolidated'!DI49</f>
        <v>0.411070228042459</v>
      </c>
      <c r="CE39" s="44">
        <f>'2. Consolidated'!DJ49</f>
        <v>0.443866610050239</v>
      </c>
      <c r="CF39" s="44">
        <f>'2. Consolidated'!DK49</f>
        <v>0.431591772501678</v>
      </c>
      <c r="CG39" s="44">
        <f>'2. Consolidated'!DL49</f>
        <v>0.472646068466671</v>
      </c>
      <c r="CH39" s="44">
        <f>'2. Consolidated'!DM49</f>
        <v>0.362640813793448</v>
      </c>
      <c r="CI39" s="45">
        <f>'2. Consolidated'!DN49</f>
        <v>0.421953386515464</v>
      </c>
      <c r="CJ39" s="44">
        <f>'2. Consolidated'!DO49</f>
        <v>0.448866610050239</v>
      </c>
      <c r="CK39" s="44">
        <f>'2. Consolidated'!DP49</f>
        <v>0.436591772501678</v>
      </c>
      <c r="CL39" s="44">
        <f>'2. Consolidated'!DQ49</f>
        <v>0.477646068466671</v>
      </c>
      <c r="CM39" s="44">
        <f>'2. Consolidated'!DR49</f>
        <v>0.367640813793448</v>
      </c>
      <c r="CN39" s="45">
        <f>'2. Consolidated'!DS49</f>
        <v>0.427106907136561</v>
      </c>
    </row>
    <row r="40" ht="15" hidden="1" customHeight="1" outlineLevel="1" spans="2:92">
      <c r="B40" s="54" t="s">
        <v>53</v>
      </c>
      <c r="C40" s="26">
        <f>'3. Earnings Build'!AH149</f>
        <v>59.137</v>
      </c>
      <c r="D40" s="26">
        <f>'3. Earnings Build'!AI149</f>
        <v>64.073</v>
      </c>
      <c r="E40" s="26">
        <f>'3. Earnings Build'!AJ149</f>
        <v>66.331</v>
      </c>
      <c r="F40" s="26">
        <f>'3. Earnings Build'!AK149</f>
        <v>109.433</v>
      </c>
      <c r="G40" s="27">
        <f>'3. Earnings Build'!AL149</f>
        <v>298.974</v>
      </c>
      <c r="H40" s="26">
        <f>'3. Earnings Build'!AM149</f>
        <v>77.252</v>
      </c>
      <c r="I40" s="26">
        <f>'3. Earnings Build'!AN149</f>
        <v>77.04</v>
      </c>
      <c r="J40" s="26">
        <f>'3. Earnings Build'!AO149</f>
        <v>84.699</v>
      </c>
      <c r="K40" s="26">
        <f>'3. Earnings Build'!AP149</f>
        <v>140.679</v>
      </c>
      <c r="L40" s="27">
        <f>'3. Earnings Build'!AQ149</f>
        <v>379.67</v>
      </c>
      <c r="M40" s="26">
        <f>'3. Earnings Build'!AR149</f>
        <v>69.559</v>
      </c>
      <c r="N40" s="26">
        <f>'3. Earnings Build'!AS149</f>
        <v>83.53</v>
      </c>
      <c r="O40" s="26">
        <f>'3. Earnings Build'!AT149</f>
        <v>89.676</v>
      </c>
      <c r="P40" s="26">
        <f>'3. Earnings Build'!AU149</f>
        <v>129.866</v>
      </c>
      <c r="Q40" s="27">
        <f>'3. Earnings Build'!AV149</f>
        <v>372.631</v>
      </c>
      <c r="R40" s="26">
        <f>'3. Earnings Build'!AW149</f>
        <v>75.697</v>
      </c>
      <c r="S40" s="26">
        <f>'3. Earnings Build'!AX149</f>
        <v>74.891</v>
      </c>
      <c r="T40" s="26">
        <f>'3. Earnings Build'!AY149</f>
        <v>73.99</v>
      </c>
      <c r="U40" s="26">
        <f>'3. Earnings Build'!AZ149</f>
        <v>132.011</v>
      </c>
      <c r="V40" s="27">
        <f>'3. Earnings Build'!BA149</f>
        <v>356.589</v>
      </c>
      <c r="W40" s="26">
        <f>'3. Earnings Build'!BB149</f>
        <v>69.223</v>
      </c>
      <c r="X40" s="26">
        <f>'3. Earnings Build'!BC149</f>
        <v>67.441</v>
      </c>
      <c r="Y40" s="26">
        <f>'3. Earnings Build'!BD149</f>
        <v>70.729</v>
      </c>
      <c r="Z40" s="26">
        <f>'3. Earnings Build'!BE149</f>
        <v>139.409</v>
      </c>
      <c r="AA40" s="27">
        <f>'3. Earnings Build'!BF149</f>
        <v>346.802</v>
      </c>
      <c r="AB40" s="26">
        <f>'3. Earnings Build'!BG149</f>
        <v>73.259</v>
      </c>
      <c r="AC40" s="26">
        <f>'3. Earnings Build'!BH149</f>
        <v>80.277</v>
      </c>
      <c r="AD40" s="26">
        <f>'3. Earnings Build'!BI149</f>
        <v>91.497</v>
      </c>
      <c r="AE40" s="26">
        <f>'3. Earnings Build'!BJ149</f>
        <v>170.602</v>
      </c>
      <c r="AF40" s="27">
        <f>'3. Earnings Build'!BK149</f>
        <v>415.635</v>
      </c>
      <c r="AG40" s="26">
        <f>'3. Earnings Build'!BL149</f>
        <v>77.499</v>
      </c>
      <c r="AH40" s="26">
        <f>'3. Earnings Build'!BM149</f>
        <v>92.609</v>
      </c>
      <c r="AI40" s="26">
        <f>'3. Earnings Build'!BN149</f>
        <v>97.015</v>
      </c>
      <c r="AJ40" s="26">
        <f>'3. Earnings Build'!BO149</f>
        <v>197.198</v>
      </c>
      <c r="AK40" s="27">
        <f>'3. Earnings Build'!BP149</f>
        <v>464.321</v>
      </c>
      <c r="AL40" s="26">
        <f>'3. Earnings Build'!BQ149</f>
        <v>99.287</v>
      </c>
      <c r="AM40" s="26">
        <f>'3. Earnings Build'!BR149</f>
        <v>125.868</v>
      </c>
      <c r="AN40" s="26">
        <f>'3. Earnings Build'!BS149</f>
        <v>117.804</v>
      </c>
      <c r="AO40" s="26">
        <f>'3. Earnings Build'!BT149</f>
        <v>232.577</v>
      </c>
      <c r="AP40" s="27">
        <f>'3. Earnings Build'!BU149</f>
        <v>575.536</v>
      </c>
      <c r="AQ40" s="26">
        <f>'3. Earnings Build'!BV149</f>
        <v>120.907</v>
      </c>
      <c r="AR40" s="26">
        <f>'3. Earnings Build'!BW149</f>
        <v>154.332</v>
      </c>
      <c r="AS40" s="26">
        <f>'3. Earnings Build'!BX149</f>
        <v>147.734</v>
      </c>
      <c r="AT40" s="26">
        <f>'3. Earnings Build'!BY149</f>
        <v>266.366</v>
      </c>
      <c r="AU40" s="27">
        <f>'3. Earnings Build'!BZ149</f>
        <v>689.339</v>
      </c>
      <c r="AV40" s="26">
        <f>'3. Earnings Build'!CA149</f>
        <v>-30.154</v>
      </c>
      <c r="AW40" s="26">
        <f>'3. Earnings Build'!CB149</f>
        <v>-5.293</v>
      </c>
      <c r="AX40" s="26">
        <f>'3. Earnings Build'!CC149</f>
        <v>111.78</v>
      </c>
      <c r="AY40" s="26">
        <f>'3. Earnings Build'!CD149</f>
        <v>136.259</v>
      </c>
      <c r="AZ40" s="27">
        <f>'3. Earnings Build'!CE149</f>
        <v>212.592</v>
      </c>
      <c r="BA40" s="26">
        <f>'3. Earnings Build'!CF149</f>
        <v>99.148</v>
      </c>
      <c r="BB40" s="26">
        <f>'3. Earnings Build'!CG149</f>
        <v>184.996</v>
      </c>
      <c r="BC40" s="26">
        <f>'3. Earnings Build'!CH149</f>
        <v>180.7</v>
      </c>
      <c r="BD40" s="26">
        <f>'3. Earnings Build'!CI149</f>
        <v>262.891</v>
      </c>
      <c r="BE40" s="27">
        <f>'3. Earnings Build'!CJ149</f>
        <v>727.735</v>
      </c>
      <c r="BF40" s="26">
        <f>'3. Earnings Build'!CK149</f>
        <v>160.706</v>
      </c>
      <c r="BG40" s="26">
        <f>'3. Earnings Build'!CL149</f>
        <v>256.807</v>
      </c>
      <c r="BH40" s="26">
        <f>'3. Earnings Build'!CM149</f>
        <v>242.733</v>
      </c>
      <c r="BI40" s="26">
        <f>'3. Earnings Build'!CN149</f>
        <v>330.821</v>
      </c>
      <c r="BJ40" s="27">
        <f>'3. Earnings Build'!CO149</f>
        <v>991.067</v>
      </c>
      <c r="BK40" s="26">
        <f>'3. Earnings Build'!CP149</f>
        <v>259.819</v>
      </c>
      <c r="BL40" s="26">
        <f>'3. Earnings Build'!CQ149</f>
        <v>339.692</v>
      </c>
      <c r="BM40" s="26">
        <f>'3. Earnings Build'!CR149</f>
        <v>310.51</v>
      </c>
      <c r="BN40" s="55">
        <f>'3. Earnings Build'!CS149</f>
        <v>400</v>
      </c>
      <c r="BO40" s="56">
        <f>'3. Earnings Build'!CT149</f>
        <v>1310.021</v>
      </c>
      <c r="BP40" s="26"/>
      <c r="BQ40" s="26"/>
      <c r="BR40" s="26"/>
      <c r="BS40" s="26"/>
      <c r="BT40" s="27"/>
      <c r="BU40" s="26"/>
      <c r="BV40" s="26"/>
      <c r="BW40" s="26"/>
      <c r="BX40" s="26"/>
      <c r="BY40" s="27"/>
      <c r="BZ40" s="26"/>
      <c r="CA40" s="26"/>
      <c r="CB40" s="26"/>
      <c r="CC40" s="26"/>
      <c r="CD40" s="27"/>
      <c r="CE40" s="26"/>
      <c r="CF40" s="26"/>
      <c r="CG40" s="26"/>
      <c r="CH40" s="26"/>
      <c r="CI40" s="27"/>
      <c r="CJ40" s="26"/>
      <c r="CK40" s="26"/>
      <c r="CL40" s="26"/>
      <c r="CM40" s="26"/>
      <c r="CN40" s="27"/>
    </row>
    <row r="41" ht="15" hidden="1" customHeight="1" outlineLevel="1" spans="2:92">
      <c r="B41" s="54" t="s">
        <v>54</v>
      </c>
      <c r="C41" s="26">
        <f>'3. Earnings Build'!AH150</f>
        <v>4.291</v>
      </c>
      <c r="D41" s="26">
        <f>'3. Earnings Build'!AI150</f>
        <v>8.178</v>
      </c>
      <c r="E41" s="26">
        <f>'3. Earnings Build'!AJ150</f>
        <v>9.098</v>
      </c>
      <c r="F41" s="26">
        <f>'3. Earnings Build'!AK150</f>
        <v>22.601</v>
      </c>
      <c r="G41" s="27">
        <f>'3. Earnings Build'!AL150</f>
        <v>44.168</v>
      </c>
      <c r="H41" s="26">
        <f>'3. Earnings Build'!AM150</f>
        <v>17.057</v>
      </c>
      <c r="I41" s="26">
        <f>'3. Earnings Build'!AN150</f>
        <v>14.085</v>
      </c>
      <c r="J41" s="26">
        <f>'3. Earnings Build'!AO150</f>
        <v>18.373</v>
      </c>
      <c r="K41" s="26">
        <f>'3. Earnings Build'!AP150</f>
        <v>33.432</v>
      </c>
      <c r="L41" s="27">
        <f>'3. Earnings Build'!AQ150</f>
        <v>82.947</v>
      </c>
      <c r="M41" s="26">
        <f>'3. Earnings Build'!AR150</f>
        <v>21.216</v>
      </c>
      <c r="N41" s="26">
        <f>'3. Earnings Build'!AS150</f>
        <v>20.633</v>
      </c>
      <c r="O41" s="26">
        <f>'3. Earnings Build'!AT150</f>
        <v>27.98</v>
      </c>
      <c r="P41" s="26">
        <f>'3. Earnings Build'!AU150</f>
        <v>39.74</v>
      </c>
      <c r="Q41" s="27">
        <f>'3. Earnings Build'!AV150</f>
        <v>109.569</v>
      </c>
      <c r="R41" s="26">
        <f>'3. Earnings Build'!AW150</f>
        <v>27.117</v>
      </c>
      <c r="S41" s="26">
        <f>'3. Earnings Build'!AX150</f>
        <v>24.087</v>
      </c>
      <c r="T41" s="26">
        <f>'3. Earnings Build'!AY150</f>
        <v>32.292</v>
      </c>
      <c r="U41" s="26">
        <f>'3. Earnings Build'!AZ150</f>
        <v>49.381</v>
      </c>
      <c r="V41" s="27">
        <f>'3. Earnings Build'!BA150</f>
        <v>132.877</v>
      </c>
      <c r="W41" s="26">
        <f>'3. Earnings Build'!BB150</f>
        <v>34.871</v>
      </c>
      <c r="X41" s="26">
        <f>'3. Earnings Build'!BC150</f>
        <v>32.25</v>
      </c>
      <c r="Y41" s="26">
        <f>'3. Earnings Build'!BD150</f>
        <v>37.985</v>
      </c>
      <c r="Z41" s="26">
        <f>'3. Earnings Build'!BE150</f>
        <v>61.312</v>
      </c>
      <c r="AA41" s="27">
        <f>'3. Earnings Build'!BF150</f>
        <v>166.418</v>
      </c>
      <c r="AB41" s="26">
        <f>'3. Earnings Build'!BG150</f>
        <v>38.551</v>
      </c>
      <c r="AC41" s="26">
        <f>'3. Earnings Build'!BH150</f>
        <v>32.644</v>
      </c>
      <c r="AD41" s="26">
        <f>'3. Earnings Build'!BI150</f>
        <v>43.588</v>
      </c>
      <c r="AE41" s="26">
        <f>'3. Earnings Build'!BJ150</f>
        <v>71.395</v>
      </c>
      <c r="AF41" s="27">
        <f>'3. Earnings Build'!BK150</f>
        <v>186.178</v>
      </c>
      <c r="AG41" s="26">
        <f>'3. Earnings Build'!BL150</f>
        <v>35.442</v>
      </c>
      <c r="AH41" s="26">
        <f>'3. Earnings Build'!BM150</f>
        <v>40.139</v>
      </c>
      <c r="AI41" s="26">
        <f>'3. Earnings Build'!BN150</f>
        <v>52.201</v>
      </c>
      <c r="AJ41" s="26">
        <f>'3. Earnings Build'!BO150</f>
        <v>103.513</v>
      </c>
      <c r="AK41" s="27">
        <f>'3. Earnings Build'!BP150</f>
        <v>231.295</v>
      </c>
      <c r="AL41" s="26">
        <f>'3. Earnings Build'!BQ150</f>
        <v>62.267</v>
      </c>
      <c r="AM41" s="26">
        <f>'3. Earnings Build'!BR150</f>
        <v>67.033</v>
      </c>
      <c r="AN41" s="26">
        <f>'3. Earnings Build'!BS150</f>
        <v>76.435</v>
      </c>
      <c r="AO41" s="26">
        <f>'3. Earnings Build'!BT150</f>
        <v>148.372</v>
      </c>
      <c r="AP41" s="27">
        <f>'3. Earnings Build'!BU150</f>
        <v>354.107</v>
      </c>
      <c r="AQ41" s="26">
        <f>'3. Earnings Build'!BV150</f>
        <v>78.675</v>
      </c>
      <c r="AR41" s="26">
        <f>'3. Earnings Build'!BW150</f>
        <v>86.081</v>
      </c>
      <c r="AS41" s="26">
        <f>'3. Earnings Build'!BX150</f>
        <v>103.282</v>
      </c>
      <c r="AT41" s="26">
        <f>'3. Earnings Build'!BY150</f>
        <v>214.33</v>
      </c>
      <c r="AU41" s="27">
        <f>'3. Earnings Build'!BZ150</f>
        <v>482.368</v>
      </c>
      <c r="AV41" s="26">
        <f>'3. Earnings Build'!CA150</f>
        <v>156.947</v>
      </c>
      <c r="AW41" s="26">
        <f>'3. Earnings Build'!CB150</f>
        <v>237.595</v>
      </c>
      <c r="AX41" s="26">
        <f>'3. Earnings Build'!CC150</f>
        <v>209.61</v>
      </c>
      <c r="AY41" s="26">
        <f>'3. Earnings Build'!CD150</f>
        <v>424.95</v>
      </c>
      <c r="AZ41" s="27">
        <f>'3. Earnings Build'!CE150</f>
        <v>1029.102</v>
      </c>
      <c r="BA41" s="26">
        <f>'3. Earnings Build'!CF150</f>
        <v>236.933</v>
      </c>
      <c r="BB41" s="26">
        <f>'3. Earnings Build'!CG150</f>
        <v>260.248</v>
      </c>
      <c r="BC41" s="26">
        <f>'3. Earnings Build'!CH150</f>
        <v>257.05</v>
      </c>
      <c r="BD41" s="26">
        <f>'3. Earnings Build'!CI150</f>
        <v>462.265</v>
      </c>
      <c r="BE41" s="27">
        <f>'3. Earnings Build'!CJ150</f>
        <v>1216.496</v>
      </c>
      <c r="BF41" s="26">
        <f>'3. Earnings Build'!CK150</f>
        <v>285.107</v>
      </c>
      <c r="BG41" s="26">
        <f>'3. Earnings Build'!CL150</f>
        <v>326.423</v>
      </c>
      <c r="BH41" s="26">
        <f>'3. Earnings Build'!CM150</f>
        <v>321.742</v>
      </c>
      <c r="BI41" s="26">
        <f>'3. Earnings Build'!CN150</f>
        <v>629.266</v>
      </c>
      <c r="BJ41" s="27">
        <f>'3. Earnings Build'!CO150</f>
        <v>1562.538</v>
      </c>
      <c r="BK41" s="26">
        <f>'3. Earnings Build'!CP150</f>
        <v>369.453</v>
      </c>
      <c r="BL41" s="26">
        <f>'3. Earnings Build'!CQ150</f>
        <v>383.87</v>
      </c>
      <c r="BM41" s="26">
        <f>'3. Earnings Build'!CR150</f>
        <v>384.393</v>
      </c>
      <c r="BN41" s="55">
        <f>'3. Earnings Build'!CS150</f>
        <v>750</v>
      </c>
      <c r="BO41" s="56">
        <f>'3. Earnings Build'!CT150</f>
        <v>1887.716</v>
      </c>
      <c r="BP41" s="26"/>
      <c r="BQ41" s="26"/>
      <c r="BR41" s="26"/>
      <c r="BS41" s="26"/>
      <c r="BT41" s="27"/>
      <c r="BU41" s="26"/>
      <c r="BV41" s="26"/>
      <c r="BW41" s="26"/>
      <c r="BX41" s="26"/>
      <c r="BY41" s="27"/>
      <c r="BZ41" s="26"/>
      <c r="CA41" s="26"/>
      <c r="CB41" s="26"/>
      <c r="CC41" s="26"/>
      <c r="CD41" s="27"/>
      <c r="CE41" s="26"/>
      <c r="CF41" s="26"/>
      <c r="CG41" s="26"/>
      <c r="CH41" s="26"/>
      <c r="CI41" s="27"/>
      <c r="CJ41" s="26"/>
      <c r="CK41" s="26"/>
      <c r="CL41" s="26"/>
      <c r="CM41" s="26"/>
      <c r="CN41" s="27"/>
    </row>
    <row r="42" ht="15" hidden="1" customHeight="1" outlineLevel="1" spans="2:92">
      <c r="B42" s="54" t="s">
        <v>55</v>
      </c>
      <c r="C42" s="26">
        <f>'3. Earnings Build'!AH151</f>
        <v>4.993</v>
      </c>
      <c r="D42" s="26">
        <f>'3. Earnings Build'!AI151</f>
        <v>4.704</v>
      </c>
      <c r="E42" s="26">
        <f>'3. Earnings Build'!AJ151</f>
        <v>3.663</v>
      </c>
      <c r="F42" s="26">
        <f>'3. Earnings Build'!AK151</f>
        <v>7.865</v>
      </c>
      <c r="G42" s="27">
        <f>'3. Earnings Build'!AL151</f>
        <v>21.225</v>
      </c>
      <c r="H42" s="26">
        <f>'3. Earnings Build'!AM151</f>
        <v>3.856</v>
      </c>
      <c r="I42" s="26">
        <f>'3. Earnings Build'!AN151</f>
        <v>3.008</v>
      </c>
      <c r="J42" s="26">
        <f>'3. Earnings Build'!AO151</f>
        <v>4.049</v>
      </c>
      <c r="K42" s="26">
        <f>'3. Earnings Build'!AP151</f>
        <v>6.457</v>
      </c>
      <c r="L42" s="27">
        <f>'3. Earnings Build'!AQ151</f>
        <v>17.37</v>
      </c>
      <c r="M42" s="26">
        <f>'3. Earnings Build'!AR151</f>
        <v>4.404</v>
      </c>
      <c r="N42" s="26">
        <f>'3. Earnings Build'!AS151</f>
        <v>3.325</v>
      </c>
      <c r="O42" s="26">
        <f>'3. Earnings Build'!AT151</f>
        <v>4.597</v>
      </c>
      <c r="P42" s="26">
        <f>'3. Earnings Build'!AU151</f>
        <v>3.781</v>
      </c>
      <c r="Q42" s="27">
        <f>'3. Earnings Build'!AV151</f>
        <v>16.107</v>
      </c>
      <c r="R42" s="26">
        <f>'3. Earnings Build'!AW151</f>
        <v>3.276</v>
      </c>
      <c r="S42" s="26">
        <f>'3. Earnings Build'!AX151</f>
        <v>3.496</v>
      </c>
      <c r="T42" s="26">
        <f>'3. Earnings Build'!AY151</f>
        <v>3.279</v>
      </c>
      <c r="U42" s="26">
        <f>'3. Earnings Build'!AZ151</f>
        <v>-0.552</v>
      </c>
      <c r="V42" s="27">
        <f>'3. Earnings Build'!BA151</f>
        <v>9.499</v>
      </c>
      <c r="W42" s="26">
        <f>'3. Earnings Build'!BB151</f>
        <v>0.981</v>
      </c>
      <c r="X42" s="26">
        <f>'3. Earnings Build'!BC151</f>
        <v>1.82</v>
      </c>
      <c r="Y42" s="26">
        <f>'3. Earnings Build'!BD151</f>
        <v>1.569</v>
      </c>
      <c r="Z42" s="26">
        <f>'3. Earnings Build'!BE151</f>
        <v>1.456</v>
      </c>
      <c r="AA42" s="27">
        <f>'3. Earnings Build'!BF151</f>
        <v>5.826</v>
      </c>
      <c r="AB42" s="26">
        <f>'3. Earnings Build'!BG151</f>
        <v>2.069</v>
      </c>
      <c r="AC42" s="26">
        <f>'3. Earnings Build'!BH151</f>
        <v>4.636</v>
      </c>
      <c r="AD42" s="26">
        <f>'3. Earnings Build'!BI151</f>
        <v>5.709</v>
      </c>
      <c r="AE42" s="26">
        <f>'3. Earnings Build'!BJ151</f>
        <v>9.898</v>
      </c>
      <c r="AF42" s="27">
        <f>'3. Earnings Build'!BK151</f>
        <v>22.312</v>
      </c>
      <c r="AG42" s="26">
        <f>'3. Earnings Build'!BL151</f>
        <v>2.836</v>
      </c>
      <c r="AH42" s="26">
        <f>'3. Earnings Build'!BM151</f>
        <v>6.952</v>
      </c>
      <c r="AI42" s="26">
        <f>'3. Earnings Build'!BN151</f>
        <v>9.319</v>
      </c>
      <c r="AJ42" s="26">
        <f>'3. Earnings Build'!BO151</f>
        <v>16.473</v>
      </c>
      <c r="AK42" s="27">
        <f>'3. Earnings Build'!BP151</f>
        <v>35.58</v>
      </c>
      <c r="AL42" s="26">
        <f>'3. Earnings Build'!BQ151</f>
        <v>11.223</v>
      </c>
      <c r="AM42" s="26">
        <f>'3. Earnings Build'!BR151</f>
        <v>13.094</v>
      </c>
      <c r="AN42" s="26">
        <f>'3. Earnings Build'!BS151</f>
        <v>15.019</v>
      </c>
      <c r="AO42" s="26">
        <f>'3. Earnings Build'!BT151</f>
        <v>23.252</v>
      </c>
      <c r="AP42" s="27">
        <f>'3. Earnings Build'!BU151</f>
        <v>62.588</v>
      </c>
      <c r="AQ42" s="26">
        <f>'3. Earnings Build'!BV151</f>
        <v>12.633</v>
      </c>
      <c r="AR42" s="26">
        <f>'3. Earnings Build'!BW151</f>
        <v>16.619</v>
      </c>
      <c r="AS42" s="26">
        <f>'3. Earnings Build'!BX151</f>
        <v>16.944</v>
      </c>
      <c r="AT42" s="26">
        <f>'3. Earnings Build'!BY151</f>
        <v>26.363</v>
      </c>
      <c r="AU42" s="27">
        <f>'3. Earnings Build'!BZ151</f>
        <v>72.559</v>
      </c>
      <c r="AV42" s="26">
        <f>'3. Earnings Build'!CA151</f>
        <v>-0.269</v>
      </c>
      <c r="AW42" s="26">
        <f>'3. Earnings Build'!CB151</f>
        <v>2.587</v>
      </c>
      <c r="AX42" s="26">
        <f>'3. Earnings Build'!CC151</f>
        <v>1.304</v>
      </c>
      <c r="AY42" s="26">
        <f>'3. Earnings Build'!CD151</f>
        <v>6.88</v>
      </c>
      <c r="AZ42" s="27">
        <f>'3. Earnings Build'!CE151</f>
        <v>10.502</v>
      </c>
      <c r="BA42" s="26">
        <f>'3. Earnings Build'!CF151</f>
        <v>14.506</v>
      </c>
      <c r="BB42" s="26">
        <f>'3. Earnings Build'!CG151</f>
        <v>22.24</v>
      </c>
      <c r="BC42" s="26">
        <f>'3. Earnings Build'!CH151</f>
        <v>27.45</v>
      </c>
      <c r="BD42" s="26">
        <f>'3. Earnings Build'!CI151</f>
        <v>13.087</v>
      </c>
      <c r="BE42" s="27">
        <f>'3. Earnings Build'!CJ151</f>
        <v>77.283</v>
      </c>
      <c r="BF42" s="26">
        <f>'3. Earnings Build'!CK151</f>
        <v>19.527</v>
      </c>
      <c r="BG42" s="26">
        <f>'3. Earnings Build'!CL151</f>
        <v>29.626</v>
      </c>
      <c r="BH42" s="26">
        <f>'3. Earnings Build'!CM151</f>
        <v>24.911</v>
      </c>
      <c r="BI42" s="26">
        <f>'3. Earnings Build'!CN151</f>
        <v>33.019</v>
      </c>
      <c r="BJ42" s="27">
        <f>'3. Earnings Build'!CO151</f>
        <v>107.083</v>
      </c>
      <c r="BK42" s="26">
        <f>'3. Earnings Build'!CP151</f>
        <v>44.083</v>
      </c>
      <c r="BL42" s="26">
        <f>'3. Earnings Build'!CQ151</f>
        <v>48.683</v>
      </c>
      <c r="BM42" s="26">
        <f>'3. Earnings Build'!CR151</f>
        <v>53.527</v>
      </c>
      <c r="BN42" s="55">
        <f>'3. Earnings Build'!CS151</f>
        <v>36.3</v>
      </c>
      <c r="BO42" s="56">
        <f>'3. Earnings Build'!CT151</f>
        <v>182.593</v>
      </c>
      <c r="BP42" s="26"/>
      <c r="BQ42" s="26"/>
      <c r="BR42" s="26"/>
      <c r="BS42" s="26"/>
      <c r="BT42" s="27"/>
      <c r="BU42" s="26"/>
      <c r="BV42" s="26"/>
      <c r="BW42" s="26"/>
      <c r="BX42" s="26"/>
      <c r="BY42" s="27"/>
      <c r="BZ42" s="26"/>
      <c r="CA42" s="26"/>
      <c r="CB42" s="26"/>
      <c r="CC42" s="26"/>
      <c r="CD42" s="27"/>
      <c r="CE42" s="26"/>
      <c r="CF42" s="26"/>
      <c r="CG42" s="26"/>
      <c r="CH42" s="26"/>
      <c r="CI42" s="27"/>
      <c r="CJ42" s="26"/>
      <c r="CK42" s="26"/>
      <c r="CL42" s="26"/>
      <c r="CM42" s="26"/>
      <c r="CN42" s="27"/>
    </row>
    <row r="43" s="3" customFormat="1" ht="15" hidden="1" customHeight="1" outlineLevel="1" spans="2:92">
      <c r="B43" s="57" t="s">
        <v>364</v>
      </c>
      <c r="C43" s="26">
        <f>'3. Earnings Build'!AH152</f>
        <v>68.421</v>
      </c>
      <c r="D43" s="26">
        <f>'3. Earnings Build'!AI152</f>
        <v>76.955</v>
      </c>
      <c r="E43" s="26">
        <f>'3. Earnings Build'!AJ152</f>
        <v>79.092</v>
      </c>
      <c r="F43" s="26">
        <f>'3. Earnings Build'!AK152</f>
        <v>139.899</v>
      </c>
      <c r="G43" s="27">
        <f>'3. Earnings Build'!AL152</f>
        <v>364.367</v>
      </c>
      <c r="H43" s="26">
        <f>'3. Earnings Build'!AM152</f>
        <v>98.165</v>
      </c>
      <c r="I43" s="26">
        <f>'3. Earnings Build'!AN152</f>
        <v>94.133</v>
      </c>
      <c r="J43" s="26">
        <f>'3. Earnings Build'!AO152</f>
        <v>107.121</v>
      </c>
      <c r="K43" s="26">
        <f>'3. Earnings Build'!AP152</f>
        <v>180.568</v>
      </c>
      <c r="L43" s="27">
        <f>'3. Earnings Build'!AQ152</f>
        <v>479.987</v>
      </c>
      <c r="M43" s="26">
        <f>'3. Earnings Build'!AR152</f>
        <v>95.179</v>
      </c>
      <c r="N43" s="26">
        <f>'3. Earnings Build'!AS152</f>
        <v>107.488</v>
      </c>
      <c r="O43" s="26">
        <f>'3. Earnings Build'!AT152</f>
        <v>122.253</v>
      </c>
      <c r="P43" s="26">
        <f>'3. Earnings Build'!AU152</f>
        <v>173.387</v>
      </c>
      <c r="Q43" s="27">
        <f>'3. Earnings Build'!AV152</f>
        <v>498.307</v>
      </c>
      <c r="R43" s="26">
        <f>'3. Earnings Build'!AW152</f>
        <v>106.09</v>
      </c>
      <c r="S43" s="26">
        <f>'3. Earnings Build'!AX152</f>
        <v>102.474</v>
      </c>
      <c r="T43" s="26">
        <f>'3. Earnings Build'!AY152</f>
        <v>109.561</v>
      </c>
      <c r="U43" s="26">
        <f>'3. Earnings Build'!AZ152</f>
        <v>180.84</v>
      </c>
      <c r="V43" s="27">
        <f>'3. Earnings Build'!BA152</f>
        <v>498.965</v>
      </c>
      <c r="W43" s="26">
        <f>'3. Earnings Build'!BB152</f>
        <v>105.075</v>
      </c>
      <c r="X43" s="26">
        <f>'3. Earnings Build'!BC152</f>
        <v>101.511</v>
      </c>
      <c r="Y43" s="26">
        <f>'3. Earnings Build'!BD152</f>
        <v>110.283</v>
      </c>
      <c r="Z43" s="26">
        <f>'3. Earnings Build'!BE152</f>
        <v>202.177</v>
      </c>
      <c r="AA43" s="27">
        <f>'3. Earnings Build'!BF152</f>
        <v>519.046</v>
      </c>
      <c r="AB43" s="26">
        <f>'3. Earnings Build'!BG152</f>
        <v>113.879</v>
      </c>
      <c r="AC43" s="26">
        <f>'3. Earnings Build'!BH152</f>
        <v>117.557</v>
      </c>
      <c r="AD43" s="26">
        <f>'3. Earnings Build'!BI152</f>
        <v>140.794</v>
      </c>
      <c r="AE43" s="26">
        <f>'3. Earnings Build'!BJ152</f>
        <v>251.895</v>
      </c>
      <c r="AF43" s="27">
        <f>'3. Earnings Build'!BK152</f>
        <v>624.125</v>
      </c>
      <c r="AG43" s="26">
        <f>'3. Earnings Build'!BL152</f>
        <v>115.777</v>
      </c>
      <c r="AH43" s="26">
        <f>'3. Earnings Build'!BM152</f>
        <v>139.7</v>
      </c>
      <c r="AI43" s="26">
        <f>'3. Earnings Build'!BN152</f>
        <v>158.535</v>
      </c>
      <c r="AJ43" s="26">
        <f>'3. Earnings Build'!BO152</f>
        <v>317.184</v>
      </c>
      <c r="AK43" s="27">
        <f>'3. Earnings Build'!BP152</f>
        <v>731.196</v>
      </c>
      <c r="AL43" s="26">
        <f>'3. Earnings Build'!BQ152</f>
        <v>172.777</v>
      </c>
      <c r="AM43" s="26">
        <f>'3. Earnings Build'!BR152</f>
        <v>205.995</v>
      </c>
      <c r="AN43" s="26">
        <f>'3. Earnings Build'!BS152</f>
        <v>209.258</v>
      </c>
      <c r="AO43" s="26">
        <f>'3. Earnings Build'!BT152</f>
        <v>404.201</v>
      </c>
      <c r="AP43" s="27">
        <f>'3. Earnings Build'!BU152</f>
        <v>992.231</v>
      </c>
      <c r="AQ43" s="26">
        <f>'3. Earnings Build'!BV152</f>
        <v>212.215</v>
      </c>
      <c r="AR43" s="26">
        <f>'3. Earnings Build'!BW152</f>
        <v>257.032</v>
      </c>
      <c r="AS43" s="26">
        <f>'3. Earnings Build'!BX152</f>
        <v>267.96</v>
      </c>
      <c r="AT43" s="26">
        <f>'3. Earnings Build'!BY152</f>
        <v>507.059</v>
      </c>
      <c r="AU43" s="27">
        <f>'3. Earnings Build'!BZ152</f>
        <v>1244.266</v>
      </c>
      <c r="AV43" s="26">
        <f>'3. Earnings Build'!CA152</f>
        <v>126.524</v>
      </c>
      <c r="AW43" s="26">
        <f>'3. Earnings Build'!CB152</f>
        <v>234.889</v>
      </c>
      <c r="AX43" s="26">
        <f>'3. Earnings Build'!CC152</f>
        <v>322.694</v>
      </c>
      <c r="AY43" s="26">
        <f>'3. Earnings Build'!CD152</f>
        <v>568.089</v>
      </c>
      <c r="AZ43" s="27">
        <f>'3. Earnings Build'!CE152</f>
        <v>1252.196</v>
      </c>
      <c r="BA43" s="26">
        <f>'3. Earnings Build'!CF152</f>
        <v>350.587</v>
      </c>
      <c r="BB43" s="26">
        <f>'3. Earnings Build'!CG152</f>
        <v>467.484</v>
      </c>
      <c r="BC43" s="26">
        <f>'3. Earnings Build'!CH152</f>
        <v>465.2</v>
      </c>
      <c r="BD43" s="26">
        <f>'3. Earnings Build'!CI152</f>
        <v>738.243</v>
      </c>
      <c r="BE43" s="27">
        <f>'3. Earnings Build'!CJ152</f>
        <v>2021.514</v>
      </c>
      <c r="BF43" s="26">
        <f>'3. Earnings Build'!CK152</f>
        <v>465.34</v>
      </c>
      <c r="BG43" s="26">
        <f>'3. Earnings Build'!CL152</f>
        <v>612.856</v>
      </c>
      <c r="BH43" s="26">
        <f>'3. Earnings Build'!CM152</f>
        <v>589.386</v>
      </c>
      <c r="BI43" s="26">
        <f>'3. Earnings Build'!CN152</f>
        <v>993.106</v>
      </c>
      <c r="BJ43" s="27">
        <f>'3. Earnings Build'!CO152</f>
        <v>2660.688</v>
      </c>
      <c r="BK43" s="26">
        <f>'3. Earnings Build'!CP152</f>
        <v>673.355</v>
      </c>
      <c r="BL43" s="26">
        <f>'3. Earnings Build'!CQ152</f>
        <v>772.245</v>
      </c>
      <c r="BM43" s="26">
        <f>'3. Earnings Build'!CR152</f>
        <v>748.43</v>
      </c>
      <c r="BN43" s="55">
        <f>'3. Earnings Build'!CS152</f>
        <v>1186.3</v>
      </c>
      <c r="BO43" s="56">
        <f>'3. Earnings Build'!CT152</f>
        <v>3380.33</v>
      </c>
      <c r="BP43" s="26"/>
      <c r="BQ43" s="26"/>
      <c r="BR43" s="26"/>
      <c r="BS43" s="26"/>
      <c r="BT43" s="27"/>
      <c r="BU43" s="26"/>
      <c r="BV43" s="26"/>
      <c r="BW43" s="26"/>
      <c r="BX43" s="26"/>
      <c r="BY43" s="27"/>
      <c r="BZ43" s="26"/>
      <c r="CA43" s="26"/>
      <c r="CB43" s="26"/>
      <c r="CC43" s="26"/>
      <c r="CD43" s="27"/>
      <c r="CE43" s="26"/>
      <c r="CF43" s="26"/>
      <c r="CG43" s="26"/>
      <c r="CH43" s="26"/>
      <c r="CI43" s="27"/>
      <c r="CJ43" s="26"/>
      <c r="CK43" s="26"/>
      <c r="CL43" s="26"/>
      <c r="CM43" s="26"/>
      <c r="CN43" s="27"/>
    </row>
    <row r="44" ht="15" hidden="1" customHeight="1" outlineLevel="1" spans="2:92">
      <c r="B44" s="54" t="s">
        <v>65</v>
      </c>
      <c r="C44" s="26">
        <f>'3. Earnings Build'!AH156</f>
        <v>-16.734</v>
      </c>
      <c r="D44" s="26">
        <f>'3. Earnings Build'!AI156</f>
        <v>-17.472</v>
      </c>
      <c r="E44" s="26">
        <f>'3. Earnings Build'!AJ156</f>
        <v>-19.371</v>
      </c>
      <c r="F44" s="26">
        <f>'3. Earnings Build'!AK156</f>
        <v>-23.823</v>
      </c>
      <c r="G44" s="27">
        <f>'3. Earnings Build'!AL156</f>
        <v>-77.4</v>
      </c>
      <c r="H44" s="26">
        <f>'3. Earnings Build'!AM156</f>
        <v>-25.1</v>
      </c>
      <c r="I44" s="26">
        <f>'3. Earnings Build'!AN156</f>
        <v>-23.945</v>
      </c>
      <c r="J44" s="26">
        <f>'3. Earnings Build'!AO156</f>
        <v>-26.51</v>
      </c>
      <c r="K44" s="26">
        <f>'3. Earnings Build'!AP156</f>
        <v>-27.993</v>
      </c>
      <c r="L44" s="27">
        <f>'3. Earnings Build'!AQ156</f>
        <v>-103.548</v>
      </c>
      <c r="M44" s="26">
        <f>'3. Earnings Build'!AR156</f>
        <v>-29.29</v>
      </c>
      <c r="N44" s="26">
        <f>'3. Earnings Build'!AS156</f>
        <v>-28.502</v>
      </c>
      <c r="O44" s="26">
        <f>'3. Earnings Build'!AT156</f>
        <v>-29.917</v>
      </c>
      <c r="P44" s="26">
        <f>'3. Earnings Build'!AU156</f>
        <v>-19.24</v>
      </c>
      <c r="Q44" s="27">
        <f>'3. Earnings Build'!AV156</f>
        <v>-106.949</v>
      </c>
      <c r="R44" s="26">
        <f>'3. Earnings Build'!AW156</f>
        <v>-36.289</v>
      </c>
      <c r="S44" s="26">
        <f>'3. Earnings Build'!AX156</f>
        <v>-34.586</v>
      </c>
      <c r="T44" s="26">
        <f>'3. Earnings Build'!AY156</f>
        <v>-28.405</v>
      </c>
      <c r="U44" s="26">
        <f>'3. Earnings Build'!AZ156</f>
        <v>-23.652</v>
      </c>
      <c r="V44" s="27">
        <f>'3. Earnings Build'!BA156</f>
        <v>-122.932</v>
      </c>
      <c r="W44" s="26">
        <f>'3. Earnings Build'!BB156</f>
        <v>-37.039</v>
      </c>
      <c r="X44" s="26">
        <f>'3. Earnings Build'!BC156</f>
        <v>-34.932</v>
      </c>
      <c r="Y44" s="26">
        <f>'3. Earnings Build'!BD156</f>
        <v>-42.105</v>
      </c>
      <c r="Z44" s="26">
        <f>'3. Earnings Build'!BE156</f>
        <v>-35.894</v>
      </c>
      <c r="AA44" s="27">
        <f>'3. Earnings Build'!BF156</f>
        <v>-149.97</v>
      </c>
      <c r="AB44" s="26">
        <f>'3. Earnings Build'!BG156</f>
        <v>-56.29</v>
      </c>
      <c r="AC44" s="26">
        <f>'3. Earnings Build'!BH156</f>
        <v>-43.598</v>
      </c>
      <c r="AD44" s="26">
        <f>'3. Earnings Build'!BI156</f>
        <v>-47.819</v>
      </c>
      <c r="AE44" s="26">
        <f>'3. Earnings Build'!BJ156</f>
        <v>-55.266</v>
      </c>
      <c r="AF44" s="27">
        <f>'3. Earnings Build'!BK156</f>
        <v>-202.973</v>
      </c>
      <c r="AG44" s="26">
        <f>'3. Earnings Build'!BL156</f>
        <v>-52.604</v>
      </c>
      <c r="AH44" s="26">
        <f>'3. Earnings Build'!BM156</f>
        <v>-65.558</v>
      </c>
      <c r="AI44" s="26">
        <f>'3. Earnings Build'!BN156</f>
        <v>-50.762</v>
      </c>
      <c r="AJ44" s="26">
        <f>'3. Earnings Build'!BO156</f>
        <v>-59.048</v>
      </c>
      <c r="AK44" s="27">
        <f>'3. Earnings Build'!BP156</f>
        <v>-227.972</v>
      </c>
      <c r="AL44" s="26">
        <f>'3. Earnings Build'!BQ156</f>
        <v>-68.472</v>
      </c>
      <c r="AM44" s="26">
        <f>'3. Earnings Build'!BR156</f>
        <v>-71.787</v>
      </c>
      <c r="AN44" s="26">
        <f>'3. Earnings Build'!BS156</f>
        <v>-73.355</v>
      </c>
      <c r="AO44" s="26">
        <f>'3. Earnings Build'!BT156</f>
        <v>-72.751</v>
      </c>
      <c r="AP44" s="27">
        <f>'3. Earnings Build'!BU156</f>
        <v>-286.365</v>
      </c>
      <c r="AQ44" s="26">
        <f>'3. Earnings Build'!BV156</f>
        <v>-83.403</v>
      </c>
      <c r="AR44" s="26">
        <f>'3. Earnings Build'!BW156</f>
        <v>-89.05</v>
      </c>
      <c r="AS44" s="26">
        <f>'3. Earnings Build'!BX156</f>
        <v>-92.131</v>
      </c>
      <c r="AT44" s="26">
        <f>'3. Earnings Build'!BY156</f>
        <v>-90.572</v>
      </c>
      <c r="AU44" s="27">
        <f>'3. Earnings Build'!BZ156</f>
        <v>-355.156</v>
      </c>
      <c r="AV44" s="26">
        <f>'3. Earnings Build'!CA156</f>
        <v>-93.773</v>
      </c>
      <c r="AW44" s="26">
        <f>'3. Earnings Build'!CB156</f>
        <v>-99.016</v>
      </c>
      <c r="AX44" s="26">
        <f>'3. Earnings Build'!CC156</f>
        <v>-107.002</v>
      </c>
      <c r="AY44" s="26">
        <f>'3. Earnings Build'!CD156</f>
        <v>-100.186</v>
      </c>
      <c r="AZ44" s="27">
        <f>'3. Earnings Build'!CE156</f>
        <v>-399.977</v>
      </c>
      <c r="BA44" s="26">
        <f>'3. Earnings Build'!CF156</f>
        <v>-146.907</v>
      </c>
      <c r="BB44" s="26">
        <f>'3. Earnings Build'!CG156</f>
        <v>-166.115</v>
      </c>
      <c r="BC44" s="26">
        <f>'3. Earnings Build'!CH156</f>
        <v>-180.931</v>
      </c>
      <c r="BD44" s="26">
        <f>'3. Earnings Build'!CI156</f>
        <v>-144.03</v>
      </c>
      <c r="BE44" s="27">
        <f>'3. Earnings Build'!CJ156</f>
        <v>-637.983</v>
      </c>
      <c r="BF44" s="26">
        <f>'3. Earnings Build'!CK156</f>
        <v>-202.798</v>
      </c>
      <c r="BG44" s="26">
        <f>'3. Earnings Build'!CL156</f>
        <v>-219.633</v>
      </c>
      <c r="BH44" s="26">
        <f>'3. Earnings Build'!CM156</f>
        <v>-234.77</v>
      </c>
      <c r="BI44" s="26">
        <f>'3. Earnings Build'!CN156</f>
        <v>-205.666</v>
      </c>
      <c r="BJ44" s="27">
        <f>'3. Earnings Build'!CO156</f>
        <v>-862.867</v>
      </c>
      <c r="BK44" s="26">
        <f>'3. Earnings Build'!CP156</f>
        <v>-270.063</v>
      </c>
      <c r="BL44" s="26">
        <f>'3. Earnings Build'!CQ156</f>
        <v>-291.109</v>
      </c>
      <c r="BM44" s="26">
        <f>'3. Earnings Build'!CR156</f>
        <v>-310.852</v>
      </c>
      <c r="BN44" s="55">
        <f>'3. Earnings Build'!CS156</f>
        <v>-272.41</v>
      </c>
      <c r="BO44" s="56">
        <f>'3. Earnings Build'!CT156</f>
        <v>-1144.434</v>
      </c>
      <c r="BP44" s="26"/>
      <c r="BQ44" s="26"/>
      <c r="BR44" s="26"/>
      <c r="BS44" s="26"/>
      <c r="BT44" s="27"/>
      <c r="BU44" s="26"/>
      <c r="BV44" s="26"/>
      <c r="BW44" s="26"/>
      <c r="BX44" s="26"/>
      <c r="BY44" s="27"/>
      <c r="BZ44" s="26"/>
      <c r="CA44" s="26"/>
      <c r="CB44" s="26"/>
      <c r="CC44" s="26"/>
      <c r="CD44" s="27"/>
      <c r="CE44" s="26"/>
      <c r="CF44" s="26"/>
      <c r="CG44" s="26"/>
      <c r="CH44" s="26"/>
      <c r="CI44" s="27"/>
      <c r="CJ44" s="26"/>
      <c r="CK44" s="26"/>
      <c r="CL44" s="26"/>
      <c r="CM44" s="26"/>
      <c r="CN44" s="27"/>
    </row>
    <row r="45" ht="15" hidden="1" customHeight="1" outlineLevel="1" spans="2:92">
      <c r="B45" s="54" t="s">
        <v>494</v>
      </c>
      <c r="C45" s="26"/>
      <c r="D45" s="26"/>
      <c r="E45" s="26"/>
      <c r="F45" s="26"/>
      <c r="G45" s="27"/>
      <c r="H45" s="26"/>
      <c r="I45" s="26"/>
      <c r="J45" s="26"/>
      <c r="K45" s="26"/>
      <c r="L45" s="27"/>
      <c r="M45" s="26"/>
      <c r="N45" s="26"/>
      <c r="O45" s="26"/>
      <c r="P45" s="26"/>
      <c r="Q45" s="27"/>
      <c r="R45" s="26"/>
      <c r="S45" s="26"/>
      <c r="T45" s="26"/>
      <c r="U45" s="26"/>
      <c r="V45" s="27"/>
      <c r="W45" s="26"/>
      <c r="X45" s="26"/>
      <c r="Y45" s="26"/>
      <c r="Z45" s="26"/>
      <c r="AA45" s="27"/>
      <c r="AB45" s="26"/>
      <c r="AC45" s="26"/>
      <c r="AD45" s="26"/>
      <c r="AE45" s="26"/>
      <c r="AF45" s="27"/>
      <c r="AG45" s="26"/>
      <c r="AH45" s="26"/>
      <c r="AI45" s="26"/>
      <c r="AJ45" s="26"/>
      <c r="AK45" s="27"/>
      <c r="AL45" s="26"/>
      <c r="AM45" s="26"/>
      <c r="AN45" s="26"/>
      <c r="AO45" s="26"/>
      <c r="AP45" s="27"/>
      <c r="AQ45" s="26">
        <f>'2. Consolidated'!BV52</f>
        <v>0</v>
      </c>
      <c r="AR45" s="26">
        <f>'2. Consolidated'!BW52</f>
        <v>0</v>
      </c>
      <c r="AS45" s="26">
        <f>'2. Consolidated'!BX52</f>
        <v>-0.007</v>
      </c>
      <c r="AT45" s="26">
        <f>'2. Consolidated'!BY52</f>
        <v>0</v>
      </c>
      <c r="AU45" s="27">
        <f>'2. Consolidated'!BZ52</f>
        <v>-0.007</v>
      </c>
      <c r="AV45" s="26">
        <f>'2. Consolidated'!CA52</f>
        <v>0</v>
      </c>
      <c r="AW45" s="26">
        <f>'2. Consolidated'!CB52</f>
        <v>0</v>
      </c>
      <c r="AX45" s="26">
        <f>'2. Consolidated'!CC52</f>
        <v>-2.241</v>
      </c>
      <c r="AY45" s="26">
        <f>'2. Consolidated'!CD52</f>
        <v>-2.195</v>
      </c>
      <c r="AZ45" s="27">
        <f>'2. Consolidated'!CE52</f>
        <v>-4.436</v>
      </c>
      <c r="BA45" s="26">
        <f>'2. Consolidated'!CF52</f>
        <v>-2.195</v>
      </c>
      <c r="BB45" s="26">
        <f>'2. Consolidated'!CG52</f>
        <v>-2.195</v>
      </c>
      <c r="BC45" s="26">
        <f>'2. Consolidated'!CH52</f>
        <v>-2.195</v>
      </c>
      <c r="BD45" s="26">
        <f>'2. Consolidated'!CI52</f>
        <v>-2.197</v>
      </c>
      <c r="BE45" s="27">
        <f>'2. Consolidated'!CJ52</f>
        <v>-8.782</v>
      </c>
      <c r="BF45" s="26">
        <f>'2. Consolidated'!CK52</f>
        <v>-2.195</v>
      </c>
      <c r="BG45" s="26">
        <f>'2. Consolidated'!CL52</f>
        <v>-2.195</v>
      </c>
      <c r="BH45" s="26">
        <f>'2. Consolidated'!CM52</f>
        <v>-2.189</v>
      </c>
      <c r="BI45" s="26">
        <f>'2. Consolidated'!CN52</f>
        <v>-2.17299999999999</v>
      </c>
      <c r="BJ45" s="27">
        <f>'2. Consolidated'!CO52</f>
        <v>-8.75199999999999</v>
      </c>
      <c r="BK45" s="26">
        <f>'2. Consolidated'!CP52</f>
        <v>-1.878</v>
      </c>
      <c r="BL45" s="26">
        <f>'2. Consolidated'!CQ52</f>
        <v>-1.879</v>
      </c>
      <c r="BM45" s="26">
        <f>'2. Consolidated'!CR52</f>
        <v>-1.253</v>
      </c>
      <c r="BN45" s="55">
        <f>'2. Consolidated'!CS52</f>
        <v>0</v>
      </c>
      <c r="BO45" s="56">
        <f>'2. Consolidated'!CT52</f>
        <v>-5.01</v>
      </c>
      <c r="BP45" s="26"/>
      <c r="BQ45" s="26"/>
      <c r="BR45" s="26"/>
      <c r="BS45" s="26"/>
      <c r="BT45" s="27"/>
      <c r="BU45" s="26"/>
      <c r="BV45" s="26"/>
      <c r="BW45" s="26"/>
      <c r="BX45" s="26"/>
      <c r="BY45" s="27"/>
      <c r="BZ45" s="26"/>
      <c r="CA45" s="26"/>
      <c r="CB45" s="26"/>
      <c r="CC45" s="26"/>
      <c r="CD45" s="27"/>
      <c r="CE45" s="26"/>
      <c r="CF45" s="26"/>
      <c r="CG45" s="26"/>
      <c r="CH45" s="26"/>
      <c r="CI45" s="27"/>
      <c r="CJ45" s="26"/>
      <c r="CK45" s="26"/>
      <c r="CL45" s="26"/>
      <c r="CM45" s="26"/>
      <c r="CN45" s="27"/>
    </row>
    <row r="46" ht="15" customHeight="1" collapsed="1" spans="2:92">
      <c r="B46" s="39" t="s">
        <v>76</v>
      </c>
      <c r="C46" s="36">
        <f>'3. Earnings Build'!AH158</f>
        <v>51.687</v>
      </c>
      <c r="D46" s="36">
        <f>'3. Earnings Build'!AI158</f>
        <v>59.483</v>
      </c>
      <c r="E46" s="36">
        <f>'3. Earnings Build'!AJ158</f>
        <v>59.721</v>
      </c>
      <c r="F46" s="36">
        <f>'3. Earnings Build'!AK158</f>
        <v>116.076</v>
      </c>
      <c r="G46" s="37">
        <f>'3. Earnings Build'!AL158</f>
        <v>286.967</v>
      </c>
      <c r="H46" s="36">
        <f>'3. Earnings Build'!AM158</f>
        <v>73.065</v>
      </c>
      <c r="I46" s="36">
        <f>'3. Earnings Build'!AN158</f>
        <v>70.188</v>
      </c>
      <c r="J46" s="36">
        <f>'3. Earnings Build'!AO158</f>
        <v>80.611</v>
      </c>
      <c r="K46" s="36">
        <f>'3. Earnings Build'!AP158</f>
        <v>152.575</v>
      </c>
      <c r="L46" s="37">
        <f>'3. Earnings Build'!AQ158</f>
        <v>376.439</v>
      </c>
      <c r="M46" s="36">
        <f>'3. Earnings Build'!AR158</f>
        <v>65.889</v>
      </c>
      <c r="N46" s="36">
        <f>'3. Earnings Build'!AS158</f>
        <v>78.986</v>
      </c>
      <c r="O46" s="36">
        <f>'3. Earnings Build'!AT158</f>
        <v>92.336</v>
      </c>
      <c r="P46" s="36">
        <f>'3. Earnings Build'!AU158</f>
        <v>154.147</v>
      </c>
      <c r="Q46" s="37">
        <f>'3. Earnings Build'!AV158</f>
        <v>391.358</v>
      </c>
      <c r="R46" s="36">
        <f>'3. Earnings Build'!AW158</f>
        <v>69.801</v>
      </c>
      <c r="S46" s="36">
        <f>'3. Earnings Build'!AX158</f>
        <v>67.888</v>
      </c>
      <c r="T46" s="36">
        <f>'3. Earnings Build'!AY158</f>
        <v>81.156</v>
      </c>
      <c r="U46" s="36">
        <f>'3. Earnings Build'!AZ158</f>
        <v>157.188</v>
      </c>
      <c r="V46" s="37">
        <f>'3. Earnings Build'!BA158</f>
        <v>376.033</v>
      </c>
      <c r="W46" s="36">
        <f>'3. Earnings Build'!BB158</f>
        <v>68.036</v>
      </c>
      <c r="X46" s="36">
        <f>'3. Earnings Build'!BC158</f>
        <v>66.579</v>
      </c>
      <c r="Y46" s="36">
        <f>'3. Earnings Build'!BD158</f>
        <v>68.178</v>
      </c>
      <c r="Z46" s="36">
        <f>'3. Earnings Build'!BE158</f>
        <v>166.283</v>
      </c>
      <c r="AA46" s="37">
        <f>'3. Earnings Build'!BF158</f>
        <v>369.076</v>
      </c>
      <c r="AB46" s="36">
        <f>'3. Earnings Build'!BG158</f>
        <v>57.589</v>
      </c>
      <c r="AC46" s="36">
        <f>'3. Earnings Build'!BH158</f>
        <v>73.959</v>
      </c>
      <c r="AD46" s="36">
        <f>'3. Earnings Build'!BI158</f>
        <v>92.975</v>
      </c>
      <c r="AE46" s="36">
        <f>'3. Earnings Build'!BJ158</f>
        <v>196.629</v>
      </c>
      <c r="AF46" s="37">
        <f>'3. Earnings Build'!BK158</f>
        <v>421.152</v>
      </c>
      <c r="AG46" s="36">
        <f>'3. Earnings Build'!BL158</f>
        <v>63.173</v>
      </c>
      <c r="AH46" s="36">
        <f>'3. Earnings Build'!BM158</f>
        <v>74.142</v>
      </c>
      <c r="AI46" s="36">
        <f>'3. Earnings Build'!BN158</f>
        <v>107.773</v>
      </c>
      <c r="AJ46" s="36">
        <f>'3. Earnings Build'!BO158</f>
        <v>258.136</v>
      </c>
      <c r="AK46" s="37">
        <f>'3. Earnings Build'!BP158</f>
        <v>503.224</v>
      </c>
      <c r="AL46" s="36">
        <f>'3. Earnings Build'!BQ158</f>
        <v>104.305</v>
      </c>
      <c r="AM46" s="36">
        <f>'3. Earnings Build'!BR158</f>
        <v>134.208</v>
      </c>
      <c r="AN46" s="36">
        <f>'3. Earnings Build'!BS158</f>
        <v>135.903</v>
      </c>
      <c r="AO46" s="36">
        <f>'3. Earnings Build'!BT158</f>
        <v>331.45</v>
      </c>
      <c r="AP46" s="37">
        <f>'3. Earnings Build'!BU158</f>
        <v>705.866</v>
      </c>
      <c r="AQ46" s="36">
        <f>'3. Earnings Build'!BV158</f>
        <v>128.812</v>
      </c>
      <c r="AR46" s="36">
        <f>'3. Earnings Build'!BW158</f>
        <v>167.982</v>
      </c>
      <c r="AS46" s="36">
        <f>'3. Earnings Build'!BX158</f>
        <v>175.822</v>
      </c>
      <c r="AT46" s="36">
        <f>'3. Earnings Build'!BY158</f>
        <v>416.487</v>
      </c>
      <c r="AU46" s="37">
        <f>'3. Earnings Build'!BZ158</f>
        <v>889.103</v>
      </c>
      <c r="AV46" s="36">
        <f>'3. Earnings Build'!CA158</f>
        <v>32.751</v>
      </c>
      <c r="AW46" s="36">
        <f>'3. Earnings Build'!CB158</f>
        <v>135.873</v>
      </c>
      <c r="AX46" s="36">
        <f>'3. Earnings Build'!CC158</f>
        <v>213.451</v>
      </c>
      <c r="AY46" s="36">
        <f>'3. Earnings Build'!CD158</f>
        <v>465.708</v>
      </c>
      <c r="AZ46" s="37">
        <f>'3. Earnings Build'!CE158</f>
        <v>847.783</v>
      </c>
      <c r="BA46" s="36">
        <f>'3. Earnings Build'!CF158</f>
        <v>201.485</v>
      </c>
      <c r="BB46" s="36">
        <f>'3. Earnings Build'!CG158</f>
        <v>299.174</v>
      </c>
      <c r="BC46" s="36">
        <f>'3. Earnings Build'!CH158</f>
        <v>282.074</v>
      </c>
      <c r="BD46" s="36">
        <f>'3. Earnings Build'!CI158</f>
        <v>592.016</v>
      </c>
      <c r="BE46" s="37">
        <f>'3. Earnings Build'!CJ158</f>
        <v>1374.749</v>
      </c>
      <c r="BF46" s="36">
        <f>'3. Earnings Build'!CK158</f>
        <v>260.347</v>
      </c>
      <c r="BG46" s="36">
        <f>'3. Earnings Build'!CL158</f>
        <v>391.028</v>
      </c>
      <c r="BH46" s="36">
        <f>'3. Earnings Build'!CM158</f>
        <v>352.427</v>
      </c>
      <c r="BI46" s="36">
        <f>'3. Earnings Build'!CN158</f>
        <v>785.267</v>
      </c>
      <c r="BJ46" s="37">
        <f>'3. Earnings Build'!CO158</f>
        <v>1789.069</v>
      </c>
      <c r="BK46" s="36">
        <f>'3. Earnings Build'!CP158</f>
        <v>401.414</v>
      </c>
      <c r="BL46" s="36">
        <f>'3. Earnings Build'!CQ158</f>
        <v>479.257</v>
      </c>
      <c r="BM46" s="36">
        <f>'3. Earnings Build'!CR158</f>
        <v>436.325</v>
      </c>
      <c r="BN46" s="36">
        <f>'3. Earnings Build'!CS158</f>
        <v>913.89</v>
      </c>
      <c r="BO46" s="37">
        <f>'3. Earnings Build'!CT158</f>
        <v>2230.886</v>
      </c>
      <c r="BP46" s="36">
        <f>'2. Consolidated'!CU55</f>
        <v>432.642</v>
      </c>
      <c r="BQ46" s="36">
        <f>'2. Consolidated'!CV55</f>
        <v>540.226</v>
      </c>
      <c r="BR46" s="36">
        <f>'2. Consolidated'!CW55</f>
        <v>490.661</v>
      </c>
      <c r="BS46" s="36">
        <f>'2. Consolidated'!CX55</f>
        <v>1042.168</v>
      </c>
      <c r="BT46" s="37">
        <f>'2. Consolidated'!CY55</f>
        <v>2505.697</v>
      </c>
      <c r="BU46" s="36">
        <f>'2. Consolidated'!CZ55</f>
        <v>438.625</v>
      </c>
      <c r="BV46" s="36">
        <f>'2. Consolidated'!DA55</f>
        <v>523.814</v>
      </c>
      <c r="BW46" s="36">
        <f>'2. Consolidated'!DB55</f>
        <v>435.886</v>
      </c>
      <c r="BX46" s="36">
        <f>'2. Consolidated'!DC55</f>
        <v>812.29</v>
      </c>
      <c r="BY46" s="37">
        <f>'2. Consolidated'!DD55</f>
        <v>2210.615</v>
      </c>
      <c r="BZ46" s="36">
        <f>'2. Consolidated'!DE55</f>
        <v>276.946</v>
      </c>
      <c r="CA46" s="36">
        <f>'2. Consolidated'!DF55</f>
        <v>453.653</v>
      </c>
      <c r="CB46" s="36">
        <f>'2. Consolidated'!DG55</f>
        <v>150.327030427514</v>
      </c>
      <c r="CC46" s="36">
        <f>'2. Consolidated'!DH55</f>
        <v>630.395880336232</v>
      </c>
      <c r="CD46" s="37">
        <f>'2. Consolidated'!DI55</f>
        <v>1511.32191076375</v>
      </c>
      <c r="CE46" s="36">
        <f>'2. Consolidated'!DJ55</f>
        <v>237.026159490229</v>
      </c>
      <c r="CF46" s="36">
        <f>'2. Consolidated'!DK55</f>
        <v>282.250766025101</v>
      </c>
      <c r="CG46" s="36">
        <f>'2. Consolidated'!DL55</f>
        <v>129.39599293361</v>
      </c>
      <c r="CH46" s="36">
        <f>'2. Consolidated'!DM55</f>
        <v>593.628710467763</v>
      </c>
      <c r="CI46" s="37">
        <f>'2. Consolidated'!DN55</f>
        <v>1242.3016289167</v>
      </c>
      <c r="CJ46" s="36">
        <f>'2. Consolidated'!DO55</f>
        <v>225.793537255408</v>
      </c>
      <c r="CK46" s="36">
        <f>'2. Consolidated'!DP55</f>
        <v>271.340069831385</v>
      </c>
      <c r="CL46" s="36">
        <f>'2. Consolidated'!DQ55</f>
        <v>117.407586247066</v>
      </c>
      <c r="CM46" s="36">
        <f>'2. Consolidated'!DR55</f>
        <v>577.900712546466</v>
      </c>
      <c r="CN46" s="37">
        <f>'2. Consolidated'!DS55</f>
        <v>1192.44190588033</v>
      </c>
    </row>
    <row r="47" ht="15" customHeight="1" spans="2:92">
      <c r="B47" s="42" t="s">
        <v>359</v>
      </c>
      <c r="C47" s="20">
        <f>'3. Earnings Build'!AH159</f>
        <v>0.591642544805075</v>
      </c>
      <c r="D47" s="20">
        <f>'3. Earnings Build'!AI159</f>
        <v>0.737084951668953</v>
      </c>
      <c r="E47" s="20">
        <f>'3. Earnings Build'!AJ159</f>
        <v>0.409311874646026</v>
      </c>
      <c r="F47" s="20">
        <f>'3. Earnings Build'!AK159</f>
        <v>0.627332501507101</v>
      </c>
      <c r="G47" s="21">
        <f>'3. Earnings Build'!AL159</f>
        <v>0.590532196738757</v>
      </c>
      <c r="H47" s="20">
        <f>'3. Earnings Build'!AM159</f>
        <v>0.413604968367288</v>
      </c>
      <c r="I47" s="20">
        <f>'3. Earnings Build'!AN159</f>
        <v>0.179967385639595</v>
      </c>
      <c r="J47" s="20">
        <f>'3. Earnings Build'!AO159</f>
        <v>0.349793205070243</v>
      </c>
      <c r="K47" s="20">
        <f>'3. Earnings Build'!AP159</f>
        <v>0.314440538957235</v>
      </c>
      <c r="L47" s="21">
        <f>'3. Earnings Build'!AQ159</f>
        <v>0.311784978760624</v>
      </c>
      <c r="M47" s="20">
        <f>'3. Earnings Build'!AR159</f>
        <v>-0.0982139191131183</v>
      </c>
      <c r="N47" s="20">
        <f>'3. Earnings Build'!AS159</f>
        <v>0.12534906251781</v>
      </c>
      <c r="O47" s="20">
        <f>'3. Earnings Build'!AT159</f>
        <v>0.145451613303395</v>
      </c>
      <c r="P47" s="20">
        <f>'3. Earnings Build'!AU159</f>
        <v>0.0103031296083889</v>
      </c>
      <c r="Q47" s="21">
        <f>'3. Earnings Build'!AV159</f>
        <v>0.0396319191157133</v>
      </c>
      <c r="R47" s="20">
        <f>'3. Earnings Build'!AW159</f>
        <v>0.0593725811592223</v>
      </c>
      <c r="S47" s="20">
        <f>'3. Earnings Build'!AX159</f>
        <v>-0.140505912440179</v>
      </c>
      <c r="T47" s="20">
        <f>'3. Earnings Build'!AY159</f>
        <v>-0.12107953560908</v>
      </c>
      <c r="U47" s="20">
        <f>'3. Earnings Build'!AZ159</f>
        <v>0.0197279220484343</v>
      </c>
      <c r="V47" s="21">
        <f>'3. Earnings Build'!BA159</f>
        <v>-0.0391585198207268</v>
      </c>
      <c r="W47" s="20">
        <f>'3. Earnings Build'!BB159</f>
        <v>-0.025286170685234</v>
      </c>
      <c r="X47" s="20">
        <f>'3. Earnings Build'!BC159</f>
        <v>-0.0192817581899601</v>
      </c>
      <c r="Y47" s="20">
        <f>'3. Earnings Build'!BD159</f>
        <v>-0.159914239242939</v>
      </c>
      <c r="Z47" s="20">
        <f>'3. Earnings Build'!BE159</f>
        <v>0.0578606509402757</v>
      </c>
      <c r="AA47" s="21">
        <f>'3. Earnings Build'!BF159</f>
        <v>-0.0185010358133462</v>
      </c>
      <c r="AB47" s="20">
        <f>'3. Earnings Build'!BG159</f>
        <v>-0.153551061202892</v>
      </c>
      <c r="AC47" s="20">
        <f>'3. Earnings Build'!BH159</f>
        <v>0.110845762177263</v>
      </c>
      <c r="AD47" s="20">
        <f>'3. Earnings Build'!BI159</f>
        <v>0.363709701076594</v>
      </c>
      <c r="AE47" s="20">
        <f>'3. Earnings Build'!BJ159</f>
        <v>0.182496106036095</v>
      </c>
      <c r="AF47" s="21">
        <f>'3. Earnings Build'!BK159</f>
        <v>0.141098310375099</v>
      </c>
      <c r="AG47" s="20">
        <f>'3. Earnings Build'!BL159</f>
        <v>0.0969629616767089</v>
      </c>
      <c r="AH47" s="20">
        <f>'3. Earnings Build'!BM159</f>
        <v>0.00247434389323797</v>
      </c>
      <c r="AI47" s="20">
        <f>'3. Earnings Build'!BN159</f>
        <v>0.159161064802366</v>
      </c>
      <c r="AJ47" s="20">
        <f>'3. Earnings Build'!BO159</f>
        <v>0.312807368190857</v>
      </c>
      <c r="AK47" s="21">
        <f>'3. Earnings Build'!BP159</f>
        <v>0.194875009497759</v>
      </c>
      <c r="AL47" s="20">
        <f>'3. Earnings Build'!BQ159</f>
        <v>0.651100945023982</v>
      </c>
      <c r="AM47" s="20">
        <f>'3. Earnings Build'!BR159</f>
        <v>0.810148094197621</v>
      </c>
      <c r="AN47" s="20">
        <f>'3. Earnings Build'!BS159</f>
        <v>0.261011570616017</v>
      </c>
      <c r="AO47" s="20">
        <f>'3. Earnings Build'!BT159</f>
        <v>0.284013078377289</v>
      </c>
      <c r="AP47" s="21">
        <f>'3. Earnings Build'!BU159</f>
        <v>0.402687471185794</v>
      </c>
      <c r="AQ47" s="20">
        <f>'3. Earnings Build'!BV159</f>
        <v>0.234955179521595</v>
      </c>
      <c r="AR47" s="20">
        <f>'3. Earnings Build'!BW159</f>
        <v>0.251654148783977</v>
      </c>
      <c r="AS47" s="20">
        <f>'3. Earnings Build'!BX159</f>
        <v>0.293731558538075</v>
      </c>
      <c r="AT47" s="20">
        <f>'3. Earnings Build'!BY159</f>
        <v>0.256560567204707</v>
      </c>
      <c r="AU47" s="21">
        <f>'3. Earnings Build'!BZ159</f>
        <v>0.259591763875863</v>
      </c>
      <c r="AV47" s="20">
        <f>'3. Earnings Build'!CA159</f>
        <v>-0.745745737974723</v>
      </c>
      <c r="AW47" s="20">
        <f>'3. Earnings Build'!CB159</f>
        <v>-0.191145479872844</v>
      </c>
      <c r="AX47" s="20">
        <f>'3. Earnings Build'!CC159</f>
        <v>0.214017585967626</v>
      </c>
      <c r="AY47" s="20">
        <f>'3. Earnings Build'!CD159</f>
        <v>0.118181359802347</v>
      </c>
      <c r="AZ47" s="21">
        <f>'3. Earnings Build'!CE159</f>
        <v>-0.0464738056220708</v>
      </c>
      <c r="BA47" s="20">
        <f>'3. Earnings Build'!CF159</f>
        <v>5.15202589233916</v>
      </c>
      <c r="BB47" s="20">
        <f>'3. Earnings Build'!CG159</f>
        <v>1.20186497685339</v>
      </c>
      <c r="BC47" s="20">
        <f>'3. Earnings Build'!CH159</f>
        <v>0.321492989023242</v>
      </c>
      <c r="BD47" s="20">
        <f>'3. Earnings Build'!CI159</f>
        <v>0.271217157532188</v>
      </c>
      <c r="BE47" s="21">
        <f>'3. Earnings Build'!CJ159</f>
        <v>0.621581230102515</v>
      </c>
      <c r="BF47" s="20">
        <f>'3. Earnings Build'!CK159</f>
        <v>0.292140854157878</v>
      </c>
      <c r="BG47" s="20">
        <f>'3. Earnings Build'!CL159</f>
        <v>0.307025343111366</v>
      </c>
      <c r="BH47" s="20">
        <f>'3. Earnings Build'!CM159</f>
        <v>0.249413274530797</v>
      </c>
      <c r="BI47" s="20">
        <f>'3. Earnings Build'!CN159</f>
        <v>0.326428677603308</v>
      </c>
      <c r="BJ47" s="21">
        <f>'3. Earnings Build'!CO159</f>
        <v>0.301378651666595</v>
      </c>
      <c r="BK47" s="20">
        <f>'3. Earnings Build'!CP159</f>
        <v>0.541842233634342</v>
      </c>
      <c r="BL47" s="20">
        <f>'3. Earnings Build'!CQ159</f>
        <v>0.225633458473562</v>
      </c>
      <c r="BM47" s="20">
        <f>'3. Earnings Build'!CR159</f>
        <v>0.238057810553675</v>
      </c>
      <c r="BN47" s="20">
        <f>'3. Earnings Build'!CS159</f>
        <v>0.16379524416536</v>
      </c>
      <c r="BO47" s="21">
        <f>'3. Earnings Build'!CT159</f>
        <v>0.246953583120606</v>
      </c>
      <c r="BP47" s="20">
        <f>'2. Consolidated'!CU56</f>
        <v>0.0777949946937584</v>
      </c>
      <c r="BQ47" s="20">
        <f>'2. Consolidated'!CV56</f>
        <v>0.127215669254701</v>
      </c>
      <c r="BR47" s="20">
        <f>'2. Consolidated'!CW56</f>
        <v>0.12453102618461</v>
      </c>
      <c r="BS47" s="20">
        <f>'2. Consolidated'!CX56</f>
        <v>0.140364814146122</v>
      </c>
      <c r="BT47" s="21">
        <f>'2. Consolidated'!CY56</f>
        <v>0.123184689849683</v>
      </c>
      <c r="BU47" s="20">
        <f>'2. Consolidated'!CZ56</f>
        <v>0.0138289856278393</v>
      </c>
      <c r="BV47" s="20">
        <f>'2. Consolidated'!DA56</f>
        <v>-0.0303798780510379</v>
      </c>
      <c r="BW47" s="20">
        <f>'2. Consolidated'!DB56</f>
        <v>-0.111635120786041</v>
      </c>
      <c r="BX47" s="20">
        <f>'2. Consolidated'!DC56</f>
        <v>-0.220576720835796</v>
      </c>
      <c r="BY47" s="21">
        <f>'2. Consolidated'!DD56</f>
        <v>-0.117764438397779</v>
      </c>
      <c r="BZ47" s="20">
        <f>'2. Consolidated'!DE56</f>
        <v>-0.368604160729552</v>
      </c>
      <c r="CA47" s="20">
        <f>'2. Consolidated'!DF56</f>
        <v>-0.133942582672476</v>
      </c>
      <c r="CB47" s="20">
        <f>'2. Consolidated'!DG56</f>
        <v>-0.655123058718303</v>
      </c>
      <c r="CC47" s="20">
        <f>'2. Consolidated'!DH56</f>
        <v>-0.223927562402304</v>
      </c>
      <c r="CD47" s="21">
        <f>'2. Consolidated'!DI56</f>
        <v>-0.316334182675977</v>
      </c>
      <c r="CE47" s="20">
        <f>'2. Consolidated'!DJ56</f>
        <v>-0.144143047777441</v>
      </c>
      <c r="CF47" s="20">
        <f>'2. Consolidated'!DK56</f>
        <v>-0.377826739765633</v>
      </c>
      <c r="CG47" s="20">
        <f>'2. Consolidated'!DL56</f>
        <v>-0.139236685740269</v>
      </c>
      <c r="CH47" s="20">
        <f>'2. Consolidated'!DM56</f>
        <v>-0.0583239374103448</v>
      </c>
      <c r="CI47" s="21">
        <f>'2. Consolidated'!DN56</f>
        <v>-0.178003296273986</v>
      </c>
      <c r="CJ47" s="20">
        <f>'2. Consolidated'!DO56</f>
        <v>-0.047389799754504</v>
      </c>
      <c r="CK47" s="20">
        <f>'2. Consolidated'!DP56</f>
        <v>-0.0386560374923697</v>
      </c>
      <c r="CL47" s="20">
        <f>'2. Consolidated'!DQ56</f>
        <v>-0.0926489794216058</v>
      </c>
      <c r="CM47" s="20">
        <f>'2. Consolidated'!DR56</f>
        <v>-0.0264946719118486</v>
      </c>
      <c r="CN47" s="21">
        <f>'2. Consolidated'!DS56</f>
        <v>-0.0401349574658885</v>
      </c>
    </row>
    <row r="48" ht="15" customHeight="1" spans="2:92">
      <c r="B48" s="42" t="s">
        <v>322</v>
      </c>
      <c r="C48" s="20">
        <f>'3. Earnings Build'!AH160</f>
        <v>0.276726630260199</v>
      </c>
      <c r="D48" s="20">
        <f>'3. Earnings Build'!AI160</f>
        <v>0.280153351261992</v>
      </c>
      <c r="E48" s="20">
        <f>'3. Earnings Build'!AJ160</f>
        <v>0.259412899190326</v>
      </c>
      <c r="F48" s="20">
        <f>'3. Earnings Build'!AK160</f>
        <v>0.312435400516796</v>
      </c>
      <c r="G48" s="21">
        <f>'3. Earnings Build'!AL160</f>
        <v>0.28672643651976</v>
      </c>
      <c r="H48" s="20">
        <f>'3. Earnings Build'!AM160</f>
        <v>0.255742077298406</v>
      </c>
      <c r="I48" s="20">
        <f>'3. Earnings Build'!AN160</f>
        <v>0.248335302900571</v>
      </c>
      <c r="J48" s="20">
        <f>'3. Earnings Build'!AO160</f>
        <v>0.254665331383061</v>
      </c>
      <c r="K48" s="20">
        <f>'3. Earnings Build'!AP160</f>
        <v>0.314247464085269</v>
      </c>
      <c r="L48" s="21">
        <f>'3. Earnings Build'!AQ160</f>
        <v>0.274693993114389</v>
      </c>
      <c r="M48" s="20">
        <f>'3. Earnings Build'!AR160</f>
        <v>0.190550693789729</v>
      </c>
      <c r="N48" s="20">
        <f>'3. Earnings Build'!AS160</f>
        <v>0.229268561708847</v>
      </c>
      <c r="O48" s="20">
        <f>'3. Earnings Build'!AT160</f>
        <v>0.243053435114504</v>
      </c>
      <c r="P48" s="20">
        <f>'3. Earnings Build'!AU160</f>
        <v>0.295871537621427</v>
      </c>
      <c r="Q48" s="21">
        <f>'3. Earnings Build'!AV160</f>
        <v>0.245953338009085</v>
      </c>
      <c r="R48" s="20">
        <f>'3. Earnings Build'!AW160</f>
        <v>0.181481365926712</v>
      </c>
      <c r="S48" s="20">
        <f>'3. Earnings Build'!AX160</f>
        <v>0.173747910945494</v>
      </c>
      <c r="T48" s="20">
        <f>'3. Earnings Build'!AY160</f>
        <v>0.193506852711995</v>
      </c>
      <c r="U48" s="20">
        <f>'3. Earnings Build'!AZ160</f>
        <v>0.260906370286272</v>
      </c>
      <c r="V48" s="21">
        <f>'3. Earnings Build'!BA160</f>
        <v>0.20923153109542</v>
      </c>
      <c r="W48" s="20">
        <f>'3. Earnings Build'!BB160</f>
        <v>0.160635022571445</v>
      </c>
      <c r="X48" s="20">
        <f>'3. Earnings Build'!BC160</f>
        <v>0.146970265557052</v>
      </c>
      <c r="Y48" s="20">
        <f>'3. Earnings Build'!BD160</f>
        <v>0.142128402957725</v>
      </c>
      <c r="Z48" s="20">
        <f>'3. Earnings Build'!BE160</f>
        <v>0.236104879337078</v>
      </c>
      <c r="AA48" s="21">
        <f>'3. Earnings Build'!BF160</f>
        <v>0.179117631785717</v>
      </c>
      <c r="AB48" s="20">
        <f>'3. Earnings Build'!BG160</f>
        <v>0.116220263321467</v>
      </c>
      <c r="AC48" s="20">
        <f>'3. Earnings Build'!BH160</f>
        <v>0.143743683433103</v>
      </c>
      <c r="AD48" s="20">
        <f>'3. Earnings Build'!BI160</f>
        <v>0.170779330511961</v>
      </c>
      <c r="AE48" s="20">
        <f>'3. Earnings Build'!BJ160</f>
        <v>0.248916373395448</v>
      </c>
      <c r="AF48" s="21">
        <f>'3. Earnings Build'!BK160</f>
        <v>0.179642312377793</v>
      </c>
      <c r="AG48" s="20">
        <f>'3. Earnings Build'!BL160</f>
        <v>0.121414856997888</v>
      </c>
      <c r="AH48" s="20">
        <f>'3. Earnings Build'!BM160</f>
        <v>0.12759915601648</v>
      </c>
      <c r="AI48" s="20">
        <f>'3. Earnings Build'!BN160</f>
        <v>0.174098676324725</v>
      </c>
      <c r="AJ48" s="20">
        <f>'3. Earnings Build'!BO160</f>
        <v>0.277930187988544</v>
      </c>
      <c r="AK48" s="21">
        <f>'3. Earnings Build'!BP160</f>
        <v>0.189954985986203</v>
      </c>
      <c r="AL48" s="20">
        <f>'3. Earnings Build'!BQ160</f>
        <v>0.160553212449589</v>
      </c>
      <c r="AM48" s="20">
        <f>'3. Earnings Build'!BR160</f>
        <v>0.185498272287491</v>
      </c>
      <c r="AN48" s="20">
        <f>'3. Earnings Build'!BS160</f>
        <v>0.181772341521156</v>
      </c>
      <c r="AO48" s="20">
        <f>'3. Earnings Build'!BT160</f>
        <v>0.2838962436103</v>
      </c>
      <c r="AP48" s="21">
        <f>'3. Earnings Build'!BU160</f>
        <v>0.214658614325435</v>
      </c>
      <c r="AQ48" s="20">
        <f>'3. Earnings Build'!BV160</f>
        <v>0.164654902436998</v>
      </c>
      <c r="AR48" s="20">
        <f>'3. Earnings Build'!BW160</f>
        <v>0.190164283320805</v>
      </c>
      <c r="AS48" s="20">
        <f>'3. Earnings Build'!BX160</f>
        <v>0.191924462394935</v>
      </c>
      <c r="AT48" s="20">
        <f>'3. Earnings Build'!BY160</f>
        <v>0.2980228980322</v>
      </c>
      <c r="AU48" s="21">
        <f>'3. Earnings Build'!BZ160</f>
        <v>0.223433863573367</v>
      </c>
      <c r="AV48" s="20">
        <f>'3. Earnings Build'!CA160</f>
        <v>0.0502345228709649</v>
      </c>
      <c r="AW48" s="20">
        <f>'3. Earnings Build'!CB160</f>
        <v>0.150478603759501</v>
      </c>
      <c r="AX48" s="20">
        <f>'3. Earnings Build'!CC160</f>
        <v>0.191020255480005</v>
      </c>
      <c r="AY48" s="20">
        <f>'3. Earnings Build'!CD160</f>
        <v>0.269265104489486</v>
      </c>
      <c r="AZ48" s="21">
        <f>'3. Earnings Build'!CE160</f>
        <v>0.192595707424034</v>
      </c>
      <c r="BA48" s="20">
        <f>'3. Earnings Build'!CF160</f>
        <v>0.164279610852556</v>
      </c>
      <c r="BB48" s="20">
        <f>'3. Earnings Build'!CG160</f>
        <v>0.206238996069262</v>
      </c>
      <c r="BC48" s="20">
        <f>'3. Earnings Build'!CH160</f>
        <v>0.194477327617292</v>
      </c>
      <c r="BD48" s="20">
        <f>'3. Earnings Build'!CI160</f>
        <v>0.278059012672949</v>
      </c>
      <c r="BE48" s="21">
        <f>'3. Earnings Build'!CJ160</f>
        <v>0.219727210407797</v>
      </c>
      <c r="BF48" s="20">
        <f>'3. Earnings Build'!CK160</f>
        <v>0.161359138697324</v>
      </c>
      <c r="BG48" s="20">
        <f>'3. Earnings Build'!CL160</f>
        <v>0.209293014930997</v>
      </c>
      <c r="BH48" s="20">
        <f>'3. Earnings Build'!CM160</f>
        <v>0.189794328040071</v>
      </c>
      <c r="BI48" s="20">
        <f>'3. Earnings Build'!CN160</f>
        <v>0.283301910140492</v>
      </c>
      <c r="BJ48" s="21">
        <f>'3. Earnings Build'!CO160</f>
        <v>0.22058628067899</v>
      </c>
      <c r="BK48" s="20">
        <f>'3. Earnings Build'!CP160</f>
        <v>0.20062755148961</v>
      </c>
      <c r="BL48" s="20">
        <f>'3. Earnings Build'!CQ160</f>
        <v>0.216940337186222</v>
      </c>
      <c r="BM48" s="20">
        <f>'3. Earnings Build'!CR160</f>
        <v>0.197950021277387</v>
      </c>
      <c r="BN48" s="20">
        <f>'3. Earnings Build'!CS160</f>
        <v>0.285135922308893</v>
      </c>
      <c r="BO48" s="21">
        <f>'3. Earnings Build'!CT160</f>
        <v>0.231918237522608</v>
      </c>
      <c r="BP48" s="20">
        <f>'2. Consolidated'!CU57</f>
        <v>0.195863897313177</v>
      </c>
      <c r="BQ48" s="20">
        <f>'2. Consolidated'!CV57</f>
        <v>0.227839826441813</v>
      </c>
      <c r="BR48" s="20">
        <f>'2. Consolidated'!CW57</f>
        <v>0.204726995068136</v>
      </c>
      <c r="BS48" s="20">
        <f>'2. Consolidated'!CX57</f>
        <v>0.2885695322466</v>
      </c>
      <c r="BT48" s="21">
        <f>'2. Consolidated'!CY57</f>
        <v>0.236651603881556</v>
      </c>
      <c r="BU48" s="20">
        <f>'2. Consolidated'!CZ57</f>
        <v>0.185022314460952</v>
      </c>
      <c r="BV48" s="20">
        <f>'2. Consolidated'!DA57</f>
        <v>0.207433097881807</v>
      </c>
      <c r="BW48" s="20">
        <f>'2. Consolidated'!DB57</f>
        <v>0.16987513250608</v>
      </c>
      <c r="BX48" s="20">
        <f>'2. Consolidated'!DC57</f>
        <v>0.22310749749849</v>
      </c>
      <c r="BY48" s="21">
        <f>'2. Consolidated'!DD57</f>
        <v>0.199107866625835</v>
      </c>
      <c r="BZ48" s="20">
        <f>'2. Consolidated'!DE57</f>
        <v>0.112051166793373</v>
      </c>
      <c r="CA48" s="20">
        <f>'2. Consolidated'!DF57</f>
        <v>0.187798964328575</v>
      </c>
      <c r="CB48" s="20">
        <f>'2. Consolidated'!DG57</f>
        <v>0.0649194992160976</v>
      </c>
      <c r="CC48" s="20">
        <f>'2. Consolidated'!DH57</f>
        <v>0.193149170639638</v>
      </c>
      <c r="CD48" s="21">
        <f>'2. Consolidated'!DI57</f>
        <v>0.144394696248356</v>
      </c>
      <c r="CE48" s="20">
        <f>'2. Consolidated'!DJ57</f>
        <v>0.100389885866338</v>
      </c>
      <c r="CF48" s="20">
        <f>'2. Consolidated'!DK57</f>
        <v>0.121153370323807</v>
      </c>
      <c r="CG48" s="20">
        <f>'2. Consolidated'!DL57</f>
        <v>0.0561334704058113</v>
      </c>
      <c r="CH48" s="20">
        <f>'2. Consolidated'!DM57</f>
        <v>0.184298300262123</v>
      </c>
      <c r="CI48" s="21">
        <f>'2. Consolidated'!DN57</f>
        <v>0.121592530255114</v>
      </c>
      <c r="CJ48" s="20">
        <f>'2. Consolidated'!DO57</f>
        <v>0.0943953646089264</v>
      </c>
      <c r="CK48" s="20">
        <f>'2. Consolidated'!DP57</f>
        <v>0.115158205054059</v>
      </c>
      <c r="CL48" s="20">
        <f>'2. Consolidated'!DQ57</f>
        <v>0.0501402207440357</v>
      </c>
      <c r="CM48" s="20">
        <f>'2. Consolidated'!DR57</f>
        <v>0.178300229914266</v>
      </c>
      <c r="CN48" s="21">
        <f>'2. Consolidated'!DS57</f>
        <v>0.115423813697377</v>
      </c>
    </row>
    <row r="49" s="1" customFormat="1" ht="15" customHeight="1" spans="2:92">
      <c r="B49" s="53" t="s">
        <v>493</v>
      </c>
      <c r="C49" s="58">
        <f>'3. Earnings Build'!AH161</f>
        <v>419.131491290105</v>
      </c>
      <c r="D49" s="58">
        <f>'3. Earnings Build'!AI161</f>
        <v>551.783170982163</v>
      </c>
      <c r="E49" s="58">
        <f>'3. Earnings Build'!AJ161</f>
        <v>183.662552767875</v>
      </c>
      <c r="F49" s="58">
        <f>'3. Earnings Build'!AK161</f>
        <v>217.699943822965</v>
      </c>
      <c r="G49" s="59">
        <f>'3. Earnings Build'!AL161</f>
        <v>332.193605443544</v>
      </c>
      <c r="H49" s="58">
        <f>'3. Earnings Build'!AM161</f>
        <v>-209.845529617931</v>
      </c>
      <c r="I49" s="58">
        <f>'3. Earnings Build'!AN161</f>
        <v>-318.180483614212</v>
      </c>
      <c r="J49" s="58">
        <f>'3. Earnings Build'!AO161</f>
        <v>-47.475678072646</v>
      </c>
      <c r="K49" s="58">
        <f>'3. Earnings Build'!AP161</f>
        <v>18.1206356847269</v>
      </c>
      <c r="L49" s="59">
        <f>'3. Earnings Build'!AQ161</f>
        <v>-120.324434053709</v>
      </c>
      <c r="M49" s="58">
        <f>'3. Earnings Build'!AR161</f>
        <v>-651.913835086772</v>
      </c>
      <c r="N49" s="58">
        <f>'3. Earnings Build'!AS161</f>
        <v>-190.66741191724</v>
      </c>
      <c r="O49" s="58">
        <f>'3. Earnings Build'!AT161</f>
        <v>-116.118962685572</v>
      </c>
      <c r="P49" s="58">
        <f>'3. Earnings Build'!AU161</f>
        <v>-183.759264638418</v>
      </c>
      <c r="Q49" s="59">
        <f>'3. Earnings Build'!AV161</f>
        <v>-287.40655105304</v>
      </c>
      <c r="R49" s="58">
        <f>'3. Earnings Build'!AW161</f>
        <v>-90.6932786301709</v>
      </c>
      <c r="S49" s="58">
        <f>'3. Earnings Build'!AX161</f>
        <v>-555.206507633531</v>
      </c>
      <c r="T49" s="58">
        <f>'3. Earnings Build'!AY161</f>
        <v>-495.465824025085</v>
      </c>
      <c r="U49" s="58">
        <f>'3. Earnings Build'!AZ161</f>
        <v>-349.651673351546</v>
      </c>
      <c r="V49" s="59">
        <f>'3. Earnings Build'!BA161</f>
        <v>-367.218069136649</v>
      </c>
      <c r="W49" s="58">
        <f>'3. Earnings Build'!BB161</f>
        <v>-208.46343355267</v>
      </c>
      <c r="X49" s="58">
        <f>'3. Earnings Build'!BC161</f>
        <v>-267.776453884422</v>
      </c>
      <c r="Y49" s="58">
        <f>'3. Earnings Build'!BD161</f>
        <v>-513.784497542703</v>
      </c>
      <c r="Z49" s="58">
        <f>'3. Earnings Build'!BE161</f>
        <v>-248.01490949194</v>
      </c>
      <c r="AA49" s="59">
        <f>'3. Earnings Build'!BF161</f>
        <v>-301.138993097036</v>
      </c>
      <c r="AB49" s="58">
        <f>'3. Earnings Build'!BG161</f>
        <v>-444.147592499778</v>
      </c>
      <c r="AC49" s="58">
        <f>'3. Earnings Build'!BH161</f>
        <v>-32.2658212394902</v>
      </c>
      <c r="AD49" s="58">
        <f>'3. Earnings Build'!BI161</f>
        <v>286.509275542364</v>
      </c>
      <c r="AE49" s="58">
        <f>'3. Earnings Build'!BJ161</f>
        <v>128.114940583696</v>
      </c>
      <c r="AF49" s="59">
        <f>'3. Earnings Build'!BK161</f>
        <v>5.24680592076887</v>
      </c>
      <c r="AG49" s="58">
        <f>'3. Earnings Build'!BL161</f>
        <v>51.9459367642085</v>
      </c>
      <c r="AH49" s="58">
        <f>'3. Earnings Build'!BM161</f>
        <v>-161.445274166223</v>
      </c>
      <c r="AI49" s="58">
        <f>'3. Earnings Build'!BN161</f>
        <v>33.193458127638</v>
      </c>
      <c r="AJ49" s="58">
        <f>'3. Earnings Build'!BO161</f>
        <v>290.138145930964</v>
      </c>
      <c r="AK49" s="59">
        <f>'3. Earnings Build'!BP161</f>
        <v>103.126736084098</v>
      </c>
      <c r="AL49" s="58">
        <f>'3. Earnings Build'!BQ161</f>
        <v>391.383554517012</v>
      </c>
      <c r="AM49" s="58">
        <f>'3. Earnings Build'!BR161</f>
        <v>578.99116271011</v>
      </c>
      <c r="AN49" s="58">
        <f>'3. Earnings Build'!BS161</f>
        <v>76.7366519643092</v>
      </c>
      <c r="AO49" s="58">
        <f>'3. Earnings Build'!BT161</f>
        <v>59.6605562175617</v>
      </c>
      <c r="AP49" s="59">
        <f>'3. Earnings Build'!BU161</f>
        <v>247.036283392317</v>
      </c>
      <c r="AQ49" s="58">
        <f>'3. Earnings Build'!BV161</f>
        <v>41.0168998740887</v>
      </c>
      <c r="AR49" s="58">
        <f>'3. Earnings Build'!BW161</f>
        <v>46.6601103331399</v>
      </c>
      <c r="AS49" s="58">
        <f>'3. Earnings Build'!BX161</f>
        <v>101.521208737789</v>
      </c>
      <c r="AT49" s="58">
        <f>'3. Earnings Build'!BY161</f>
        <v>141.266544219001</v>
      </c>
      <c r="AU49" s="59">
        <f>'3. Earnings Build'!BZ161</f>
        <v>87.7524924793169</v>
      </c>
      <c r="AV49" s="58">
        <f>'3. Earnings Build'!CA161</f>
        <v>-1144.20379566033</v>
      </c>
      <c r="AW49" s="58">
        <f>'3. Earnings Build'!CB161</f>
        <v>-396.856795613044</v>
      </c>
      <c r="AX49" s="58">
        <f>'3. Earnings Build'!CC161</f>
        <v>-9.04206914930178</v>
      </c>
      <c r="AY49" s="58">
        <f>'3. Earnings Build'!CD161</f>
        <v>-287.577935427141</v>
      </c>
      <c r="AZ49" s="59">
        <f>'3. Earnings Build'!CE161</f>
        <v>-308.381561493325</v>
      </c>
      <c r="BA49" s="58">
        <f>'3. Earnings Build'!CF161</f>
        <v>1140.45087981592</v>
      </c>
      <c r="BB49" s="58">
        <f>'3. Earnings Build'!CG161</f>
        <v>557.603923097606</v>
      </c>
      <c r="BC49" s="58">
        <f>'3. Earnings Build'!CH161</f>
        <v>34.5707213728694</v>
      </c>
      <c r="BD49" s="58">
        <f>'3. Earnings Build'!CI161</f>
        <v>87.9390818346226</v>
      </c>
      <c r="BE49" s="59">
        <f>'3. Earnings Build'!CJ161</f>
        <v>271.315029837629</v>
      </c>
      <c r="BF49" s="58">
        <f>'3. Earnings Build'!CK161</f>
        <v>-29.2047215523278</v>
      </c>
      <c r="BG49" s="58">
        <f>'3. Earnings Build'!CL161</f>
        <v>30.5401886173556</v>
      </c>
      <c r="BH49" s="58">
        <f>'3. Earnings Build'!CM161</f>
        <v>-46.8299957722054</v>
      </c>
      <c r="BI49" s="58">
        <f>'3. Earnings Build'!CN161</f>
        <v>52.4289746754314</v>
      </c>
      <c r="BJ49" s="59">
        <f>'3. Earnings Build'!CO161</f>
        <v>8.59070271192919</v>
      </c>
      <c r="BK49" s="58">
        <f>'3. Earnings Build'!CP161</f>
        <v>392.684127922864</v>
      </c>
      <c r="BL49" s="58">
        <f>'3. Earnings Build'!CQ161</f>
        <v>76.4732225522483</v>
      </c>
      <c r="BM49" s="58">
        <f>'3. Earnings Build'!CR161</f>
        <v>81.5569323731599</v>
      </c>
      <c r="BN49" s="58">
        <f>'3. Earnings Build'!CS161</f>
        <v>18.3401216840134</v>
      </c>
      <c r="BO49" s="59">
        <f>'3. Earnings Build'!CT161</f>
        <v>113.319568436183</v>
      </c>
      <c r="BP49" s="58">
        <f>'2. Consolidated'!CU58</f>
        <v>-47.6365417643335</v>
      </c>
      <c r="BQ49" s="58">
        <f>'2. Consolidated'!CV58</f>
        <v>108.994892555906</v>
      </c>
      <c r="BR49" s="58">
        <f>'2. Consolidated'!CW58</f>
        <v>67.7697379074918</v>
      </c>
      <c r="BS49" s="58">
        <f>'2. Consolidated'!CX58</f>
        <v>34.3360993770719</v>
      </c>
      <c r="BT49" s="59">
        <f>'2. Consolidated'!CY58</f>
        <v>47.3336635894742</v>
      </c>
      <c r="BU49" s="58">
        <f>'2. Consolidated'!CZ58</f>
        <v>-108.41582852225</v>
      </c>
      <c r="BV49" s="58">
        <f>'2. Consolidated'!DA58</f>
        <v>-204.067285600051</v>
      </c>
      <c r="BW49" s="58">
        <f>'2. Consolidated'!DB58</f>
        <v>-348.518625620567</v>
      </c>
      <c r="BX49" s="58">
        <f>'2. Consolidated'!DC58</f>
        <v>-654.620347481102</v>
      </c>
      <c r="BY49" s="59">
        <f>'2. Consolidated'!DD58</f>
        <v>-375.437372557201</v>
      </c>
      <c r="BZ49" s="58">
        <f>'2. Consolidated'!DE58</f>
        <v>-729.711476675792</v>
      </c>
      <c r="CA49" s="58">
        <f>'2. Consolidated'!DF58</f>
        <v>-196.341335532325</v>
      </c>
      <c r="CB49" s="58">
        <f>'2. Consolidated'!DG58</f>
        <v>-1049.55633289982</v>
      </c>
      <c r="CC49" s="58">
        <f>'2. Consolidated'!DH58</f>
        <v>-299.583268588522</v>
      </c>
      <c r="CD49" s="59">
        <f>'2. Consolidated'!DI58</f>
        <v>-547.131703774796</v>
      </c>
      <c r="CE49" s="58">
        <f>'2. Consolidated'!DJ58</f>
        <v>-116.612809270349</v>
      </c>
      <c r="CF49" s="58">
        <f>'2. Consolidated'!DK58</f>
        <v>-666.455940047675</v>
      </c>
      <c r="CG49" s="58">
        <f>'2. Consolidated'!DL58</f>
        <v>-87.8602881028633</v>
      </c>
      <c r="CH49" s="58">
        <f>'2. Consolidated'!DM58</f>
        <v>-88.5087037751467</v>
      </c>
      <c r="CI49" s="59">
        <f>'2. Consolidated'!DN58</f>
        <v>-228.021659932419</v>
      </c>
      <c r="CJ49" s="58">
        <f>'2. Consolidated'!DO58</f>
        <v>-59.9452125741123</v>
      </c>
      <c r="CK49" s="58">
        <f>'2. Consolidated'!DP58</f>
        <v>-59.9516526974811</v>
      </c>
      <c r="CL49" s="58">
        <f>'2. Consolidated'!DQ58</f>
        <v>-59.9324966177559</v>
      </c>
      <c r="CM49" s="58">
        <f>'2. Consolidated'!DR58</f>
        <v>-59.9807034785685</v>
      </c>
      <c r="CN49" s="59">
        <f>'2. Consolidated'!DS58</f>
        <v>-61.6871655773682</v>
      </c>
    </row>
    <row r="50" ht="15" customHeight="1" spans="2:92">
      <c r="B50" s="60" t="s">
        <v>495</v>
      </c>
      <c r="C50" s="61">
        <f>'2. Consolidated'!AH60</f>
        <v>0.904</v>
      </c>
      <c r="D50" s="61">
        <f>'2. Consolidated'!AI60</f>
        <v>0.597</v>
      </c>
      <c r="E50" s="61">
        <f>'2. Consolidated'!AJ60</f>
        <v>0.619</v>
      </c>
      <c r="F50" s="61">
        <f>'2. Consolidated'!AK60</f>
        <v>0.38</v>
      </c>
      <c r="G50" s="62">
        <f>'2. Consolidated'!AL60</f>
        <v>2.5</v>
      </c>
      <c r="H50" s="61">
        <f>'2. Consolidated'!AM60</f>
        <v>0.91</v>
      </c>
      <c r="I50" s="61">
        <f>'2. Consolidated'!AN60</f>
        <v>1.166</v>
      </c>
      <c r="J50" s="61">
        <f>'2. Consolidated'!AO60</f>
        <v>1.424</v>
      </c>
      <c r="K50" s="61">
        <f>'2. Consolidated'!AP60</f>
        <v>1.457</v>
      </c>
      <c r="L50" s="62">
        <f>'2. Consolidated'!AQ60</f>
        <v>4.957</v>
      </c>
      <c r="M50" s="61">
        <f>'2. Consolidated'!AR60</f>
        <v>1.501</v>
      </c>
      <c r="N50" s="61">
        <f>'2. Consolidated'!AS60</f>
        <v>1.295</v>
      </c>
      <c r="O50" s="61">
        <f>'2. Consolidated'!AT60</f>
        <v>1.453</v>
      </c>
      <c r="P50" s="61">
        <f>'2. Consolidated'!AU60</f>
        <v>1.519</v>
      </c>
      <c r="Q50" s="62">
        <f>'2. Consolidated'!AV60</f>
        <v>5.768</v>
      </c>
      <c r="R50" s="61">
        <f>'2. Consolidated'!AW60</f>
        <v>1.643</v>
      </c>
      <c r="S50" s="61">
        <f>'2. Consolidated'!AX60</f>
        <v>1.89</v>
      </c>
      <c r="T50" s="61">
        <f>'2. Consolidated'!AY60</f>
        <v>1.814</v>
      </c>
      <c r="U50" s="61">
        <f>'2. Consolidated'!AZ60</f>
        <v>1.755</v>
      </c>
      <c r="V50" s="62">
        <f>'2. Consolidated'!BA60</f>
        <v>7.102</v>
      </c>
      <c r="W50" s="61">
        <f>'2. Consolidated'!BB60</f>
        <v>0.529</v>
      </c>
      <c r="X50" s="61">
        <f>'2. Consolidated'!BC60</f>
        <v>0.842</v>
      </c>
      <c r="Y50" s="61">
        <f>'2. Consolidated'!BD60</f>
        <v>0.716</v>
      </c>
      <c r="Z50" s="61">
        <f>'2. Consolidated'!BE60</f>
        <v>0.938</v>
      </c>
      <c r="AA50" s="62">
        <f>'2. Consolidated'!BF60</f>
        <v>3.025</v>
      </c>
      <c r="AB50" s="61">
        <f>'2. Consolidated'!BG60</f>
        <v>0.714</v>
      </c>
      <c r="AC50" s="61">
        <f>'2. Consolidated'!BH60</f>
        <v>0.878</v>
      </c>
      <c r="AD50" s="61">
        <f>'2. Consolidated'!BI60</f>
        <v>0.828</v>
      </c>
      <c r="AE50" s="61">
        <f>'2. Consolidated'!BJ60</f>
        <v>0.857</v>
      </c>
      <c r="AF50" s="62">
        <f>'2. Consolidated'!BK60</f>
        <v>3.277</v>
      </c>
      <c r="AG50" s="61">
        <f>'2. Consolidated'!BL60</f>
        <v>0.907</v>
      </c>
      <c r="AH50" s="61">
        <f>'2. Consolidated'!BM60</f>
        <v>0.812</v>
      </c>
      <c r="AI50" s="61">
        <f>'2. Consolidated'!BN60</f>
        <v>1.052</v>
      </c>
      <c r="AJ50" s="61">
        <f>'2. Consolidated'!BO60</f>
        <v>1.226</v>
      </c>
      <c r="AK50" s="62">
        <f>'2. Consolidated'!BP60</f>
        <v>3.997</v>
      </c>
      <c r="AL50" s="61">
        <f>'2. Consolidated'!BQ60</f>
        <v>2.918</v>
      </c>
      <c r="AM50" s="61">
        <f>'2. Consolidated'!BR60</f>
        <v>1.591</v>
      </c>
      <c r="AN50" s="61">
        <f>'2. Consolidated'!BS60</f>
        <v>2.044</v>
      </c>
      <c r="AO50" s="61">
        <f>'2. Consolidated'!BT60</f>
        <v>2.861</v>
      </c>
      <c r="AP50" s="62">
        <f>'2. Consolidated'!BU60</f>
        <v>9.414</v>
      </c>
      <c r="AQ50" s="61">
        <f>'2. Consolidated'!BV60</f>
        <v>2.379</v>
      </c>
      <c r="AR50" s="61">
        <f>'2. Consolidated'!BW60</f>
        <v>1.85</v>
      </c>
      <c r="AS50" s="61">
        <f>'2. Consolidated'!BX60</f>
        <v>1.925</v>
      </c>
      <c r="AT50" s="61">
        <f>'2. Consolidated'!BY60</f>
        <v>2.129</v>
      </c>
      <c r="AU50" s="62">
        <f>'2. Consolidated'!BZ60</f>
        <v>8.283</v>
      </c>
      <c r="AV50" s="61">
        <f>'2. Consolidated'!CA60</f>
        <v>1.174</v>
      </c>
      <c r="AW50" s="61">
        <f>'2. Consolidated'!CB60</f>
        <v>-0.344</v>
      </c>
      <c r="AX50" s="61">
        <f>'2. Consolidated'!CC60</f>
        <v>-0.58</v>
      </c>
      <c r="AY50" s="61">
        <f>'2. Consolidated'!CD60</f>
        <v>-0.886</v>
      </c>
      <c r="AZ50" s="62">
        <f>'2. Consolidated'!CE60</f>
        <v>-0.636</v>
      </c>
      <c r="BA50" s="61">
        <f>'2. Consolidated'!CF60</f>
        <v>0.227</v>
      </c>
      <c r="BB50" s="61">
        <f>'2. Consolidated'!CG60</f>
        <v>0.096</v>
      </c>
      <c r="BC50" s="61">
        <f>'2. Consolidated'!CH60</f>
        <v>0.015</v>
      </c>
      <c r="BD50" s="61">
        <f>'2. Consolidated'!CI60</f>
        <v>0.176</v>
      </c>
      <c r="BE50" s="62">
        <f>'2. Consolidated'!CJ60</f>
        <v>0.514</v>
      </c>
      <c r="BF50" s="61">
        <f>'2. Consolidated'!CK60</f>
        <v>-0.022</v>
      </c>
      <c r="BG50" s="61">
        <f>'2. Consolidated'!CL60</f>
        <v>0.145</v>
      </c>
      <c r="BH50" s="61">
        <f>'2. Consolidated'!CM60</f>
        <v>0.331</v>
      </c>
      <c r="BI50" s="61">
        <f>'2. Consolidated'!CN60</f>
        <v>3.709</v>
      </c>
      <c r="BJ50" s="62">
        <f>'2. Consolidated'!CO60</f>
        <v>4.163</v>
      </c>
      <c r="BK50" s="61">
        <f>'2. Consolidated'!CP60</f>
        <v>8.025</v>
      </c>
      <c r="BL50" s="61">
        <f>'2. Consolidated'!CQ60</f>
        <v>7.362</v>
      </c>
      <c r="BM50" s="61">
        <f>'2. Consolidated'!CR60</f>
        <v>9.842</v>
      </c>
      <c r="BN50" s="61">
        <f>'2. Consolidated'!CS60</f>
        <v>17.83</v>
      </c>
      <c r="BO50" s="62">
        <f>'2. Consolidated'!CT60</f>
        <v>43.059</v>
      </c>
      <c r="BP50" s="61">
        <f>'2. Consolidated'!CU60</f>
        <v>23.283</v>
      </c>
      <c r="BQ50" s="61">
        <f>'2. Consolidated'!CV60</f>
        <v>17.994</v>
      </c>
      <c r="BR50" s="61">
        <f>'2. Consolidated'!CW60</f>
        <v>13.743</v>
      </c>
      <c r="BS50" s="61">
        <f>'2. Consolidated'!CX60</f>
        <v>15.36</v>
      </c>
      <c r="BT50" s="62">
        <f>'2. Consolidated'!CY60</f>
        <v>70.38</v>
      </c>
      <c r="BU50" s="61">
        <f>'2. Consolidated'!CZ60</f>
        <v>11.786</v>
      </c>
      <c r="BV50" s="61">
        <f>'2. Consolidated'!DA60</f>
        <v>9.737</v>
      </c>
      <c r="BW50" s="61">
        <f>'2. Consolidated'!DB60</f>
        <v>5.854</v>
      </c>
      <c r="BX50" s="61">
        <f>'2. Consolidated'!DC60</f>
        <v>0.975</v>
      </c>
      <c r="BY50" s="62">
        <f>'2. Consolidated'!DD60</f>
        <v>28.352</v>
      </c>
      <c r="BZ50" s="61">
        <f>'2. Consolidated'!DE60</f>
        <v>9.131</v>
      </c>
      <c r="CA50" s="61">
        <f>'2. Consolidated'!DF60</f>
        <v>13.698</v>
      </c>
      <c r="CB50" s="61">
        <f>'2. Consolidated'!DG60</f>
        <v>4.86223121669337</v>
      </c>
      <c r="CC50" s="61">
        <f>'2. Consolidated'!DH60</f>
        <v>4.46823437149828</v>
      </c>
      <c r="CD50" s="62">
        <f>'2. Consolidated'!DI60</f>
        <v>32.1594655881916</v>
      </c>
      <c r="CE50" s="61">
        <f>'2. Consolidated'!DJ60</f>
        <v>5.59025758090868</v>
      </c>
      <c r="CF50" s="61">
        <f>'2. Consolidated'!DK60</f>
        <v>5.88954380476367</v>
      </c>
      <c r="CG50" s="61">
        <f>'2. Consolidated'!DL60</f>
        <v>4.82318900830819</v>
      </c>
      <c r="CH50" s="61">
        <f>'2. Consolidated'!DM60</f>
        <v>5.01430337394889</v>
      </c>
      <c r="CI50" s="62">
        <f>'2. Consolidated'!DN60</f>
        <v>21.3172937679294</v>
      </c>
      <c r="CJ50" s="61">
        <f>'2. Consolidated'!DO60</f>
        <v>6.54101243940314</v>
      </c>
      <c r="CK50" s="61">
        <f>'2. Consolidated'!DP60</f>
        <v>6.87356927501791</v>
      </c>
      <c r="CL50" s="61">
        <f>'2. Consolidated'!DQ60</f>
        <v>5.85162120108208</v>
      </c>
      <c r="CM50" s="61">
        <f>'2. Consolidated'!DR60</f>
        <v>6.00286785144691</v>
      </c>
      <c r="CN50" s="62">
        <f>'2. Consolidated'!DS60</f>
        <v>25.26907076695</v>
      </c>
    </row>
    <row r="51" ht="15" customHeight="1" spans="2:92">
      <c r="B51" s="39" t="s">
        <v>496</v>
      </c>
      <c r="C51" s="40">
        <f>'2. Consolidated'!AH61</f>
        <v>52.591</v>
      </c>
      <c r="D51" s="40">
        <f>'2. Consolidated'!AI61</f>
        <v>60.08</v>
      </c>
      <c r="E51" s="40">
        <f>'2. Consolidated'!AJ61</f>
        <v>60.34</v>
      </c>
      <c r="F51" s="40">
        <f>'2. Consolidated'!AK61</f>
        <v>116.447</v>
      </c>
      <c r="G51" s="41">
        <f>'2. Consolidated'!AL61</f>
        <v>289.458</v>
      </c>
      <c r="H51" s="40">
        <f>'2. Consolidated'!AM61</f>
        <v>73.975</v>
      </c>
      <c r="I51" s="40">
        <f>'2. Consolidated'!AN61</f>
        <v>71.354</v>
      </c>
      <c r="J51" s="40">
        <f>'2. Consolidated'!AO61</f>
        <v>82.0350000000001</v>
      </c>
      <c r="K51" s="40">
        <f>'2. Consolidated'!AP61</f>
        <v>154.032</v>
      </c>
      <c r="L51" s="41">
        <f>'2. Consolidated'!AQ61</f>
        <v>381.396</v>
      </c>
      <c r="M51" s="40">
        <f>'2. Consolidated'!AR61</f>
        <v>67.3900000000001</v>
      </c>
      <c r="N51" s="40">
        <f>'2. Consolidated'!AS61</f>
        <v>80.281</v>
      </c>
      <c r="O51" s="40">
        <f>'2. Consolidated'!AT61</f>
        <v>93.789</v>
      </c>
      <c r="P51" s="40">
        <f>'2. Consolidated'!AU61</f>
        <v>155.666</v>
      </c>
      <c r="Q51" s="41">
        <f>'2. Consolidated'!AV61</f>
        <v>397.126</v>
      </c>
      <c r="R51" s="40">
        <f>'2. Consolidated'!AW61</f>
        <v>71.444</v>
      </c>
      <c r="S51" s="40">
        <f>'2. Consolidated'!AX61</f>
        <v>69.797</v>
      </c>
      <c r="T51" s="40">
        <f>'2. Consolidated'!AY61</f>
        <v>82.97</v>
      </c>
      <c r="U51" s="40">
        <f>'2. Consolidated'!AZ61</f>
        <v>158.943</v>
      </c>
      <c r="V51" s="41">
        <f>'2. Consolidated'!BA61</f>
        <v>383.135</v>
      </c>
      <c r="W51" s="40">
        <f>'2. Consolidated'!BB61</f>
        <v>68.565</v>
      </c>
      <c r="X51" s="40">
        <f>'2. Consolidated'!BC61</f>
        <v>67.421</v>
      </c>
      <c r="Y51" s="40">
        <f>'2. Consolidated'!BD61</f>
        <v>68.894</v>
      </c>
      <c r="Z51" s="40">
        <f>'2. Consolidated'!BE61</f>
        <v>167.221</v>
      </c>
      <c r="AA51" s="41">
        <f>'2. Consolidated'!BF61</f>
        <v>372.101</v>
      </c>
      <c r="AB51" s="40">
        <f>'2. Consolidated'!BG61</f>
        <v>58.303</v>
      </c>
      <c r="AC51" s="40">
        <f>'2. Consolidated'!BH61</f>
        <v>74.837</v>
      </c>
      <c r="AD51" s="40">
        <f>'2. Consolidated'!BI61</f>
        <v>93.8030000000001</v>
      </c>
      <c r="AE51" s="40">
        <f>'2. Consolidated'!BJ61</f>
        <v>197.486</v>
      </c>
      <c r="AF51" s="41">
        <f>'2. Consolidated'!BK61</f>
        <v>424.429</v>
      </c>
      <c r="AG51" s="40">
        <f>'2. Consolidated'!BL61</f>
        <v>64.08</v>
      </c>
      <c r="AH51" s="40">
        <f>'2. Consolidated'!BM61</f>
        <v>74.9540000000001</v>
      </c>
      <c r="AI51" s="40">
        <f>'2. Consolidated'!BN61</f>
        <v>108.841</v>
      </c>
      <c r="AJ51" s="40">
        <f>'2. Consolidated'!BO61</f>
        <v>259.362</v>
      </c>
      <c r="AK51" s="41">
        <f>'2. Consolidated'!BP61</f>
        <v>507.221</v>
      </c>
      <c r="AL51" s="40">
        <f>'2. Consolidated'!BQ61</f>
        <v>107.223</v>
      </c>
      <c r="AM51" s="40">
        <f>'2. Consolidated'!BR61</f>
        <v>135.799</v>
      </c>
      <c r="AN51" s="40">
        <f>'2. Consolidated'!BS61</f>
        <v>137.947</v>
      </c>
      <c r="AO51" s="40">
        <f>'2. Consolidated'!BT61</f>
        <v>334.281</v>
      </c>
      <c r="AP51" s="41">
        <f>'2. Consolidated'!BU61</f>
        <v>715.25</v>
      </c>
      <c r="AQ51" s="40">
        <f>'2. Consolidated'!BV61</f>
        <v>131.191</v>
      </c>
      <c r="AR51" s="40">
        <f>'2. Consolidated'!BW61</f>
        <v>169.832</v>
      </c>
      <c r="AS51" s="40">
        <f>'2. Consolidated'!BX61</f>
        <v>177.754</v>
      </c>
      <c r="AT51" s="40">
        <f>'2. Consolidated'!BY61</f>
        <v>418.616</v>
      </c>
      <c r="AU51" s="41">
        <f>'2. Consolidated'!BZ61</f>
        <v>897.393</v>
      </c>
      <c r="AV51" s="40">
        <f>'2. Consolidated'!CA61</f>
        <v>33.925</v>
      </c>
      <c r="AW51" s="40">
        <f>'2. Consolidated'!CB61</f>
        <v>135.529</v>
      </c>
      <c r="AX51" s="40">
        <f>'2. Consolidated'!CC61</f>
        <v>212.871</v>
      </c>
      <c r="AY51" s="40">
        <f>'2. Consolidated'!CD61</f>
        <v>464.822</v>
      </c>
      <c r="AZ51" s="41">
        <f>'2. Consolidated'!CE61</f>
        <v>847.147</v>
      </c>
      <c r="BA51" s="40">
        <f>'2. Consolidated'!CF61</f>
        <v>201.712</v>
      </c>
      <c r="BB51" s="40">
        <f>'2. Consolidated'!CG61</f>
        <v>299.27</v>
      </c>
      <c r="BC51" s="40">
        <f>'2. Consolidated'!CH61</f>
        <v>282.089</v>
      </c>
      <c r="BD51" s="40">
        <f>'2. Consolidated'!CI61</f>
        <v>592.192</v>
      </c>
      <c r="BE51" s="41">
        <f>'2. Consolidated'!CJ61</f>
        <v>1375.263</v>
      </c>
      <c r="BF51" s="40">
        <f>'2. Consolidated'!CK61</f>
        <v>260.325</v>
      </c>
      <c r="BG51" s="40">
        <f>'2. Consolidated'!CL61</f>
        <v>391.173</v>
      </c>
      <c r="BH51" s="40">
        <f>'2. Consolidated'!CM61</f>
        <v>352.758</v>
      </c>
      <c r="BI51" s="40">
        <f>'2. Consolidated'!CN61</f>
        <v>788.976</v>
      </c>
      <c r="BJ51" s="41">
        <f>'2. Consolidated'!CO61</f>
        <v>1793.232</v>
      </c>
      <c r="BK51" s="40">
        <f>'2. Consolidated'!CP61</f>
        <v>409.439</v>
      </c>
      <c r="BL51" s="40">
        <f>'2. Consolidated'!CQ61</f>
        <v>486.619</v>
      </c>
      <c r="BM51" s="40">
        <f>'2. Consolidated'!CR61</f>
        <v>446.167</v>
      </c>
      <c r="BN51" s="40">
        <f>'2. Consolidated'!CS61</f>
        <v>931.72</v>
      </c>
      <c r="BO51" s="41">
        <f>'2. Consolidated'!CT61</f>
        <v>2273.945</v>
      </c>
      <c r="BP51" s="40">
        <f>'2. Consolidated'!CU61</f>
        <v>455.925</v>
      </c>
      <c r="BQ51" s="40">
        <f>'2. Consolidated'!CV61</f>
        <v>558.22</v>
      </c>
      <c r="BR51" s="40">
        <f>'2. Consolidated'!CW61</f>
        <v>504.404</v>
      </c>
      <c r="BS51" s="40">
        <f>'2. Consolidated'!CX61</f>
        <v>1057.528</v>
      </c>
      <c r="BT51" s="41">
        <f>'2. Consolidated'!CY61</f>
        <v>2576.077</v>
      </c>
      <c r="BU51" s="40">
        <f>'2. Consolidated'!CZ61</f>
        <v>450.411</v>
      </c>
      <c r="BV51" s="40">
        <f>'2. Consolidated'!DA61</f>
        <v>533.551</v>
      </c>
      <c r="BW51" s="40">
        <f>'2. Consolidated'!DB61</f>
        <v>441.74</v>
      </c>
      <c r="BX51" s="40">
        <f>'2. Consolidated'!DC61</f>
        <v>813.265</v>
      </c>
      <c r="BY51" s="41">
        <f>'2. Consolidated'!DD61</f>
        <v>2238.967</v>
      </c>
      <c r="BZ51" s="40">
        <f>'2. Consolidated'!DE61</f>
        <v>286.077</v>
      </c>
      <c r="CA51" s="40">
        <f>'2. Consolidated'!DF61</f>
        <v>467.351</v>
      </c>
      <c r="CB51" s="40">
        <f>'2. Consolidated'!DG61</f>
        <v>155.189261644207</v>
      </c>
      <c r="CC51" s="40">
        <f>'2. Consolidated'!DH61</f>
        <v>634.864114707731</v>
      </c>
      <c r="CD51" s="41">
        <f>'2. Consolidated'!DI61</f>
        <v>1543.48137635194</v>
      </c>
      <c r="CE51" s="40">
        <f>'2. Consolidated'!DJ61</f>
        <v>242.616417071137</v>
      </c>
      <c r="CF51" s="40">
        <f>'2. Consolidated'!DK61</f>
        <v>288.140309829865</v>
      </c>
      <c r="CG51" s="40">
        <f>'2. Consolidated'!DL61</f>
        <v>134.219181941918</v>
      </c>
      <c r="CH51" s="40">
        <f>'2. Consolidated'!DM61</f>
        <v>598.643013841712</v>
      </c>
      <c r="CI51" s="41">
        <f>'2. Consolidated'!DN61</f>
        <v>1263.61892268463</v>
      </c>
      <c r="CJ51" s="40">
        <f>'2. Consolidated'!DO61</f>
        <v>232.334549694811</v>
      </c>
      <c r="CK51" s="40">
        <f>'2. Consolidated'!DP61</f>
        <v>278.213639106403</v>
      </c>
      <c r="CL51" s="40">
        <f>'2. Consolidated'!DQ61</f>
        <v>123.259207448148</v>
      </c>
      <c r="CM51" s="40">
        <f>'2. Consolidated'!DR61</f>
        <v>583.903580397913</v>
      </c>
      <c r="CN51" s="41">
        <f>'2. Consolidated'!DS61</f>
        <v>1217.71097664728</v>
      </c>
    </row>
    <row r="52" ht="15" customHeight="1" spans="2:92">
      <c r="B52" s="60" t="s">
        <v>497</v>
      </c>
      <c r="C52" s="61">
        <f>'2. Consolidated'!AH62</f>
        <v>-19.075</v>
      </c>
      <c r="D52" s="61">
        <f>'2. Consolidated'!AI62</f>
        <v>-21.462</v>
      </c>
      <c r="E52" s="61">
        <f>'2. Consolidated'!AJ62</f>
        <v>-21.399</v>
      </c>
      <c r="F52" s="61">
        <f>'2. Consolidated'!AK62</f>
        <v>-42.558</v>
      </c>
      <c r="G52" s="62">
        <f>'2. Consolidated'!AL62</f>
        <v>-104.494</v>
      </c>
      <c r="H52" s="61">
        <f>'2. Consolidated'!AM62</f>
        <v>-27.001</v>
      </c>
      <c r="I52" s="61">
        <f>'2. Consolidated'!AN62</f>
        <v>-13.652</v>
      </c>
      <c r="J52" s="61">
        <f>'2. Consolidated'!AO62</f>
        <v>-24.655</v>
      </c>
      <c r="K52" s="61">
        <f>'2. Consolidated'!AP62</f>
        <v>-44.657</v>
      </c>
      <c r="L52" s="62">
        <f>'2. Consolidated'!AQ62</f>
        <v>-109.965</v>
      </c>
      <c r="M52" s="61">
        <f>'2. Consolidated'!AR62</f>
        <v>-20.111</v>
      </c>
      <c r="N52" s="61">
        <f>'2. Consolidated'!AS62</f>
        <v>-23.816</v>
      </c>
      <c r="O52" s="61">
        <f>'2. Consolidated'!AT62</f>
        <v>-27.678</v>
      </c>
      <c r="P52" s="61">
        <f>'2. Consolidated'!AU62</f>
        <v>-45.974</v>
      </c>
      <c r="Q52" s="62">
        <f>'2. Consolidated'!AV62</f>
        <v>-117.579</v>
      </c>
      <c r="R52" s="61">
        <f>'2. Consolidated'!AW62</f>
        <v>-18.763</v>
      </c>
      <c r="S52" s="61">
        <f>'2. Consolidated'!AX62</f>
        <v>-21.03</v>
      </c>
      <c r="T52" s="61">
        <f>'2. Consolidated'!AY62</f>
        <v>-22.519</v>
      </c>
      <c r="U52" s="61">
        <f>'2. Consolidated'!AZ62</f>
        <v>-48.09</v>
      </c>
      <c r="V52" s="62">
        <f>'2. Consolidated'!BA62</f>
        <v>-110.402</v>
      </c>
      <c r="W52" s="61">
        <f>'2. Consolidated'!BB62</f>
        <v>-20.755</v>
      </c>
      <c r="X52" s="61">
        <f>'2. Consolidated'!BC62</f>
        <v>-19.753</v>
      </c>
      <c r="Y52" s="61">
        <f>'2. Consolidated'!BD62</f>
        <v>-19.848</v>
      </c>
      <c r="Z52" s="61">
        <f>'2. Consolidated'!BE62</f>
        <v>-49.805</v>
      </c>
      <c r="AA52" s="62">
        <f>'2. Consolidated'!BF62</f>
        <v>-110.161</v>
      </c>
      <c r="AB52" s="61">
        <f>'2. Consolidated'!BG62</f>
        <v>-17.367</v>
      </c>
      <c r="AC52" s="61">
        <f>'2. Consolidated'!BH62</f>
        <v>-22.812</v>
      </c>
      <c r="AD52" s="61">
        <f>'2. Consolidated'!BI62</f>
        <v>-29.318</v>
      </c>
      <c r="AE52" s="61">
        <f>'2. Consolidated'!BJ62</f>
        <v>-60.4307159999999</v>
      </c>
      <c r="AF52" s="62">
        <f>'2. Consolidated'!BK62</f>
        <v>-129.927716</v>
      </c>
      <c r="AG52" s="61">
        <f>'2. Consolidated'!BL62</f>
        <v>-19.768</v>
      </c>
      <c r="AH52" s="61">
        <f>'2. Consolidated'!BM62</f>
        <v>-22.203</v>
      </c>
      <c r="AI52" s="61">
        <f>'2. Consolidated'!BN62</f>
        <v>-33.509</v>
      </c>
      <c r="AJ52" s="61">
        <f>'2. Consolidated'!BO62</f>
        <v>-79.304</v>
      </c>
      <c r="AK52" s="62">
        <f>'2. Consolidated'!BP62</f>
        <v>-154.784</v>
      </c>
      <c r="AL52" s="61">
        <f>'2. Consolidated'!BQ62</f>
        <v>-32.07</v>
      </c>
      <c r="AM52" s="61">
        <f>'2. Consolidated'!BR62</f>
        <v>-40.029</v>
      </c>
      <c r="AN52" s="61">
        <f>'2. Consolidated'!BS62</f>
        <v>-38.371</v>
      </c>
      <c r="AO52" s="61">
        <f>'2. Consolidated'!BT62</f>
        <v>-89.801</v>
      </c>
      <c r="AP52" s="62">
        <f>'2. Consolidated'!BU62</f>
        <v>-200.271</v>
      </c>
      <c r="AQ52" s="61">
        <f>'2. Consolidated'!BV62</f>
        <v>-34.588</v>
      </c>
      <c r="AR52" s="61">
        <f>'2. Consolidated'!BW62</f>
        <v>-44.842</v>
      </c>
      <c r="AS52" s="61">
        <f>'2. Consolidated'!BX62</f>
        <v>-51.772</v>
      </c>
      <c r="AT52" s="61">
        <f>'2. Consolidated'!BY62</f>
        <v>-120.595</v>
      </c>
      <c r="AU52" s="62">
        <f>'2. Consolidated'!BZ62</f>
        <v>-251.797</v>
      </c>
      <c r="AV52" s="61">
        <f>'2. Consolidated'!CA62</f>
        <v>-5.293</v>
      </c>
      <c r="AW52" s="61">
        <f>'2. Consolidated'!CB62</f>
        <v>-39.231</v>
      </c>
      <c r="AX52" s="61">
        <f>'2. Consolidated'!CC62</f>
        <v>-61.593</v>
      </c>
      <c r="AY52" s="61">
        <f>'2. Consolidated'!CD62</f>
        <v>-127.451</v>
      </c>
      <c r="AZ52" s="62">
        <f>'2. Consolidated'!CE62</f>
        <v>-233.568</v>
      </c>
      <c r="BA52" s="61">
        <f>'2. Consolidated'!CF62</f>
        <v>-49.464</v>
      </c>
      <c r="BB52" s="61">
        <f>'2. Consolidated'!CG62</f>
        <v>-83.487</v>
      </c>
      <c r="BC52" s="61">
        <f>'2. Consolidated'!CH62</f>
        <v>-70.785</v>
      </c>
      <c r="BD52" s="61">
        <f>'2. Consolidated'!CI62</f>
        <v>-156.228</v>
      </c>
      <c r="BE52" s="62">
        <f>'2. Consolidated'!CJ62</f>
        <v>-359.964</v>
      </c>
      <c r="BF52" s="61">
        <f>'2. Consolidated'!CK62</f>
        <v>-70.327</v>
      </c>
      <c r="BG52" s="61">
        <f>'2. Consolidated'!CL62</f>
        <v>-110.171</v>
      </c>
      <c r="BH52" s="61">
        <f>'2. Consolidated'!CM62</f>
        <v>-97.288</v>
      </c>
      <c r="BI52" s="61">
        <f>'2. Consolidated'!CN62</f>
        <v>-226.495</v>
      </c>
      <c r="BJ52" s="62">
        <f>'2. Consolidated'!CO62</f>
        <v>-504.281</v>
      </c>
      <c r="BK52" s="61">
        <f>'2. Consolidated'!CP62</f>
        <v>-119.034</v>
      </c>
      <c r="BL52" s="61">
        <f>'2. Consolidated'!CQ62</f>
        <v>-145.016</v>
      </c>
      <c r="BM52" s="61">
        <f>'2. Consolidated'!CR62</f>
        <v>-125.328</v>
      </c>
      <c r="BN52" s="61">
        <f>'2. Consolidated'!CS62</f>
        <v>-262.252</v>
      </c>
      <c r="BO52" s="62">
        <f>'2. Consolidated'!CT62</f>
        <v>-651.63</v>
      </c>
      <c r="BP52" s="61">
        <f>'2. Consolidated'!CU62</f>
        <v>-134.504</v>
      </c>
      <c r="BQ52" s="61">
        <f>'2. Consolidated'!CV62</f>
        <v>-165.298</v>
      </c>
      <c r="BR52" s="61">
        <f>'2. Consolidated'!CW62</f>
        <v>-152.534</v>
      </c>
      <c r="BS52" s="61">
        <f>'2. Consolidated'!CX62</f>
        <v>-309.125</v>
      </c>
      <c r="BT52" s="62">
        <f>'2. Consolidated'!CY62</f>
        <v>-761.461</v>
      </c>
      <c r="BU52" s="61">
        <f>'2. Consolidated'!CZ62</f>
        <v>-135.839</v>
      </c>
      <c r="BV52" s="61">
        <f>'2. Consolidated'!DA62</f>
        <v>-162.646</v>
      </c>
      <c r="BW52" s="61">
        <f>'2. Consolidated'!DB62</f>
        <v>-134.905</v>
      </c>
      <c r="BX52" s="61">
        <f>'2. Consolidated'!DC62</f>
        <v>-226.394</v>
      </c>
      <c r="BY52" s="62">
        <f>'2. Consolidated'!DD62</f>
        <v>-659.784</v>
      </c>
      <c r="BZ52" s="61">
        <f>'2. Consolidated'!DE62</f>
        <v>-91.029</v>
      </c>
      <c r="CA52" s="61">
        <f>'2. Consolidated'!DF62</f>
        <v>-138.128</v>
      </c>
      <c r="CB52" s="61">
        <f>'2. Consolidated'!DG62</f>
        <v>-46.5567784932622</v>
      </c>
      <c r="CC52" s="61">
        <f>'2. Consolidated'!DH62</f>
        <v>-187.919777953488</v>
      </c>
      <c r="CD52" s="62">
        <f>'2. Consolidated'!DI62</f>
        <v>-463.63355644675</v>
      </c>
      <c r="CE52" s="61">
        <f>'2. Consolidated'!DJ62</f>
        <v>-72.7849251213412</v>
      </c>
      <c r="CF52" s="61">
        <f>'2. Consolidated'!DK62</f>
        <v>-86.4420929489594</v>
      </c>
      <c r="CG52" s="61">
        <f>'2. Consolidated'!DL62</f>
        <v>-40.2657545825755</v>
      </c>
      <c r="CH52" s="61">
        <f>'2. Consolidated'!DM62</f>
        <v>-179.592904152514</v>
      </c>
      <c r="CI52" s="62">
        <f>'2. Consolidated'!DN62</f>
        <v>-379.08567680539</v>
      </c>
      <c r="CJ52" s="61">
        <f>'2. Consolidated'!DO62</f>
        <v>-69.7003649084433</v>
      </c>
      <c r="CK52" s="61">
        <f>'2. Consolidated'!DP62</f>
        <v>-83.4640917319208</v>
      </c>
      <c r="CL52" s="61">
        <f>'2. Consolidated'!DQ62</f>
        <v>-36.9777622344444</v>
      </c>
      <c r="CM52" s="61">
        <f>'2. Consolidated'!DR62</f>
        <v>-175.171074119374</v>
      </c>
      <c r="CN52" s="62">
        <f>'2. Consolidated'!DS62</f>
        <v>-365.313292994182</v>
      </c>
    </row>
    <row r="53" s="1" customFormat="1" ht="15" customHeight="1" spans="2:92">
      <c r="B53" s="42" t="s">
        <v>498</v>
      </c>
      <c r="C53" s="20">
        <f>'2. Consolidated'!AH63</f>
        <v>0.362704645281512</v>
      </c>
      <c r="D53" s="20">
        <f>'2. Consolidated'!AI63</f>
        <v>0.357223701731025</v>
      </c>
      <c r="E53" s="20">
        <f>'2. Consolidated'!AJ63</f>
        <v>0.354640371229698</v>
      </c>
      <c r="F53" s="20">
        <f>'2. Consolidated'!AK63</f>
        <v>0.365470986800862</v>
      </c>
      <c r="G53" s="21">
        <f>'2. Consolidated'!AL63</f>
        <v>0.360998832300368</v>
      </c>
      <c r="H53" s="20">
        <f>'2. Consolidated'!AM63</f>
        <v>0.365001689760054</v>
      </c>
      <c r="I53" s="20">
        <f>'2. Consolidated'!AN63</f>
        <v>0.191327746166998</v>
      </c>
      <c r="J53" s="20">
        <f>'2. Consolidated'!AO63</f>
        <v>0.300542451392698</v>
      </c>
      <c r="K53" s="20">
        <f>'2. Consolidated'!AP63</f>
        <v>0.289920276306222</v>
      </c>
      <c r="L53" s="21">
        <f>'2. Consolidated'!AQ63</f>
        <v>0.288322373595947</v>
      </c>
      <c r="M53" s="20">
        <f>'2. Consolidated'!AR63</f>
        <v>0.298427066330316</v>
      </c>
      <c r="N53" s="20">
        <f>'2. Consolidated'!AS63</f>
        <v>0.29665798881429</v>
      </c>
      <c r="O53" s="20">
        <f>'2. Consolidated'!AT63</f>
        <v>0.295109234558424</v>
      </c>
      <c r="P53" s="20">
        <f>'2. Consolidated'!AU63</f>
        <v>0.295337453265324</v>
      </c>
      <c r="Q53" s="21">
        <f>'2. Consolidated'!AV63</f>
        <v>0.296074797419459</v>
      </c>
      <c r="R53" s="20">
        <f>'2. Consolidated'!AW63</f>
        <v>0.262625272941045</v>
      </c>
      <c r="S53" s="20">
        <f>'2. Consolidated'!AX63</f>
        <v>0.301302348238463</v>
      </c>
      <c r="T53" s="20">
        <f>'2. Consolidated'!AY63</f>
        <v>0.271411353501266</v>
      </c>
      <c r="U53" s="20">
        <f>'2. Consolidated'!AZ63</f>
        <v>0.302561295558785</v>
      </c>
      <c r="V53" s="21">
        <f>'2. Consolidated'!BA63</f>
        <v>0.288154305923499</v>
      </c>
      <c r="W53" s="20">
        <f>'2. Consolidated'!BB63</f>
        <v>0.302705461970393</v>
      </c>
      <c r="X53" s="20">
        <f>'2. Consolidated'!BC63</f>
        <v>0.292979932068643</v>
      </c>
      <c r="Y53" s="20">
        <f>'2. Consolidated'!BD63</f>
        <v>0.288094754260168</v>
      </c>
      <c r="Z53" s="20">
        <f>'2. Consolidated'!BE63</f>
        <v>0.297839386201494</v>
      </c>
      <c r="AA53" s="21">
        <f>'2. Consolidated'!BF63</f>
        <v>0.296051340899379</v>
      </c>
      <c r="AB53" s="20">
        <f>'2. Consolidated'!BG63</f>
        <v>0.297874894945372</v>
      </c>
      <c r="AC53" s="20">
        <f>'2. Consolidated'!BH63</f>
        <v>0.304822480858399</v>
      </c>
      <c r="AD53" s="20">
        <f>'2. Consolidated'!BI63</f>
        <v>0.312548639169323</v>
      </c>
      <c r="AE53" s="20">
        <f>'2. Consolidated'!BJ63</f>
        <v>0.306</v>
      </c>
      <c r="AF53" s="21">
        <f>'2. Consolidated'!BK63</f>
        <v>0.306123558946255</v>
      </c>
      <c r="AG53" s="20">
        <f>'2. Consolidated'!BL63</f>
        <v>0.308489388264669</v>
      </c>
      <c r="AH53" s="20">
        <f>'2. Consolidated'!BM63</f>
        <v>0.296221682632014</v>
      </c>
      <c r="AI53" s="20">
        <f>'2. Consolidated'!BN63</f>
        <v>0.307871114745362</v>
      </c>
      <c r="AJ53" s="20">
        <f>'2. Consolidated'!BO63</f>
        <v>0.305765686569351</v>
      </c>
      <c r="AK53" s="21">
        <f>'2. Consolidated'!BP63</f>
        <v>0.30516086676222</v>
      </c>
      <c r="AL53" s="20">
        <f>'2. Consolidated'!BQ63</f>
        <v>0.299096275985563</v>
      </c>
      <c r="AM53" s="20">
        <f>'2. Consolidated'!BR63</f>
        <v>0.294766529944992</v>
      </c>
      <c r="AN53" s="20">
        <f>'2. Consolidated'!BS63</f>
        <v>0.27815755326321</v>
      </c>
      <c r="AO53" s="20">
        <f>'2. Consolidated'!BT63</f>
        <v>0.268639258587835</v>
      </c>
      <c r="AP53" s="21">
        <f>'2. Consolidated'!BU63</f>
        <v>0.280001398112548</v>
      </c>
      <c r="AQ53" s="20">
        <f>'2. Consolidated'!BV63</f>
        <v>0.263646134262259</v>
      </c>
      <c r="AR53" s="20">
        <f>'2. Consolidated'!BW63</f>
        <v>0.26403740166753</v>
      </c>
      <c r="AS53" s="20">
        <f>'2. Consolidated'!BX63</f>
        <v>0.29125645555093</v>
      </c>
      <c r="AT53" s="20">
        <f>'2. Consolidated'!BY63</f>
        <v>0.288080245380014</v>
      </c>
      <c r="AU53" s="21">
        <f>'2. Consolidated'!BZ63</f>
        <v>0.280587212068737</v>
      </c>
      <c r="AV53" s="20">
        <f>'2. Consolidated'!CA63</f>
        <v>0.156020633750921</v>
      </c>
      <c r="AW53" s="20">
        <f>'2. Consolidated'!CB63</f>
        <v>0.289465723203152</v>
      </c>
      <c r="AX53" s="20">
        <f>'2. Consolidated'!CC63</f>
        <v>0.289344250743408</v>
      </c>
      <c r="AY53" s="20">
        <f>'2. Consolidated'!CD63</f>
        <v>0.274193131994613</v>
      </c>
      <c r="AZ53" s="21">
        <f>'2. Consolidated'!CE63</f>
        <v>0.275711299219616</v>
      </c>
      <c r="BA53" s="20">
        <f>'2. Consolidated'!CF63</f>
        <v>0.245220909018799</v>
      </c>
      <c r="BB53" s="20">
        <f>'2. Consolidated'!CG63</f>
        <v>0.278968824138738</v>
      </c>
      <c r="BC53" s="20">
        <f>'2. Consolidated'!CH63</f>
        <v>0.250931443622403</v>
      </c>
      <c r="BD53" s="20">
        <f>'2. Consolidated'!CI63</f>
        <v>0.26381308764725</v>
      </c>
      <c r="BE53" s="21">
        <f>'2. Consolidated'!CJ63</f>
        <v>0.261741935906078</v>
      </c>
      <c r="BF53" s="20">
        <f>'2. Consolidated'!CK63</f>
        <v>0.270150773072121</v>
      </c>
      <c r="BG53" s="20">
        <f>'2. Consolidated'!CL63</f>
        <v>0.281642649160346</v>
      </c>
      <c r="BH53" s="20">
        <f>'2. Consolidated'!CM63</f>
        <v>0.275792469625069</v>
      </c>
      <c r="BI53" s="20">
        <f>'2. Consolidated'!CN63</f>
        <v>0.287074638518789</v>
      </c>
      <c r="BJ53" s="21">
        <f>'2. Consolidated'!CO63</f>
        <v>0.281213473772496</v>
      </c>
      <c r="BK53" s="20">
        <f>'2. Consolidated'!CP63</f>
        <v>0.290724625646311</v>
      </c>
      <c r="BL53" s="20">
        <f>'2. Consolidated'!CQ63</f>
        <v>0.298007270575132</v>
      </c>
      <c r="BM53" s="20">
        <f>'2. Consolidated'!CR63</f>
        <v>0.280899304520505</v>
      </c>
      <c r="BN53" s="20">
        <f>'2. Consolidated'!CS63</f>
        <v>0.281470828145795</v>
      </c>
      <c r="BO53" s="21">
        <f>'2. Consolidated'!CT63</f>
        <v>0.286563659191405</v>
      </c>
      <c r="BP53" s="20">
        <f>'2. Consolidated'!CU63</f>
        <v>0.295013434227121</v>
      </c>
      <c r="BQ53" s="20">
        <f>'2. Consolidated'!CV63</f>
        <v>0.296116226577335</v>
      </c>
      <c r="BR53" s="20">
        <f>'2. Consolidated'!CW63</f>
        <v>0.302404421852325</v>
      </c>
      <c r="BS53" s="20">
        <f>'2. Consolidated'!CX63</f>
        <v>0.292309045245138</v>
      </c>
      <c r="BT53" s="21">
        <f>'2. Consolidated'!CY63</f>
        <v>0.295589378733633</v>
      </c>
      <c r="BU53" s="20">
        <f>'2. Consolidated'!CZ63</f>
        <v>0.301588993164021</v>
      </c>
      <c r="BV53" s="20">
        <f>'2. Consolidated'!DA63</f>
        <v>0.304836838465301</v>
      </c>
      <c r="BW53" s="20">
        <f>'2. Consolidated'!DB63</f>
        <v>0.305394575994929</v>
      </c>
      <c r="BX53" s="20">
        <f>'2. Consolidated'!DC63</f>
        <v>0.278376666892095</v>
      </c>
      <c r="BY53" s="21">
        <f>'2. Consolidated'!DD63</f>
        <v>0.294682324482674</v>
      </c>
      <c r="BZ53" s="20">
        <f>'2. Consolidated'!DE63</f>
        <v>0.318197548212544</v>
      </c>
      <c r="CA53" s="20">
        <f>'2. Consolidated'!DF63</f>
        <v>0.2955551608962</v>
      </c>
      <c r="CB53" s="20">
        <f>'2. Consolidated'!DG63</f>
        <v>0.3</v>
      </c>
      <c r="CC53" s="20">
        <f>'2. Consolidated'!DH63</f>
        <v>0.296</v>
      </c>
      <c r="CD53" s="21">
        <f>'2. Consolidated'!DI63</f>
        <v>0.300381697861856</v>
      </c>
      <c r="CE53" s="20">
        <f>'2. Consolidated'!DJ63</f>
        <v>0.3</v>
      </c>
      <c r="CF53" s="20">
        <f>'2. Consolidated'!DK63</f>
        <v>0.3</v>
      </c>
      <c r="CG53" s="20">
        <f>'2. Consolidated'!DL63</f>
        <v>0.3</v>
      </c>
      <c r="CH53" s="20">
        <f>'2. Consolidated'!DM63</f>
        <v>0.3</v>
      </c>
      <c r="CI53" s="21">
        <f>'2. Consolidated'!DN63</f>
        <v>0.3</v>
      </c>
      <c r="CJ53" s="20">
        <f>'2. Consolidated'!DO63</f>
        <v>0.3</v>
      </c>
      <c r="CK53" s="20">
        <f>'2. Consolidated'!DP63</f>
        <v>0.3</v>
      </c>
      <c r="CL53" s="20">
        <f>'2. Consolidated'!DQ63</f>
        <v>0.3</v>
      </c>
      <c r="CM53" s="20">
        <f>'2. Consolidated'!DR63</f>
        <v>0.3</v>
      </c>
      <c r="CN53" s="21">
        <f>'2. Consolidated'!DS63</f>
        <v>0.3</v>
      </c>
    </row>
    <row r="54" ht="15" customHeight="1" spans="2:92">
      <c r="B54" s="60" t="s">
        <v>499</v>
      </c>
      <c r="C54" s="61">
        <f>'2. Consolidated'!AH65</f>
        <v>-0.144</v>
      </c>
      <c r="D54" s="61">
        <f>'2. Consolidated'!AI65</f>
        <v>-0.239</v>
      </c>
      <c r="E54" s="61">
        <f>'2. Consolidated'!AJ65</f>
        <v>-0.147</v>
      </c>
      <c r="F54" s="61">
        <f>'2. Consolidated'!AK65</f>
        <v>-0.371</v>
      </c>
      <c r="G54" s="62">
        <f>'2. Consolidated'!AL65</f>
        <v>-0.901</v>
      </c>
      <c r="H54" s="61">
        <f>'2. Consolidated'!AM65</f>
        <v>-0.331</v>
      </c>
      <c r="I54" s="61">
        <f>'2. Consolidated'!AN65</f>
        <v>-0.48</v>
      </c>
      <c r="J54" s="61">
        <f>'2. Consolidated'!AO65</f>
        <v>-0.064</v>
      </c>
      <c r="K54" s="61">
        <f>'2. Consolidated'!AP65</f>
        <v>0</v>
      </c>
      <c r="L54" s="62">
        <f>'2. Consolidated'!AQ65</f>
        <v>-0.875</v>
      </c>
      <c r="M54" s="61">
        <f>'2. Consolidated'!AR65</f>
        <v>0</v>
      </c>
      <c r="N54" s="61">
        <f>'2. Consolidated'!AS65</f>
        <v>0</v>
      </c>
      <c r="O54" s="61">
        <f>'2. Consolidated'!AT65</f>
        <v>0</v>
      </c>
      <c r="P54" s="61">
        <f>'2. Consolidated'!AU65</f>
        <v>0</v>
      </c>
      <c r="Q54" s="62">
        <f>'2. Consolidated'!AV65</f>
        <v>0</v>
      </c>
      <c r="R54" s="61">
        <f>'2. Consolidated'!AW65</f>
        <v>0</v>
      </c>
      <c r="S54" s="61">
        <f>'2. Consolidated'!AX65</f>
        <v>0</v>
      </c>
      <c r="T54" s="61">
        <f>'2. Consolidated'!AY65</f>
        <v>0</v>
      </c>
      <c r="U54" s="61">
        <f>'2. Consolidated'!AZ65</f>
        <v>0</v>
      </c>
      <c r="V54" s="62">
        <f>'2. Consolidated'!BA65</f>
        <v>0</v>
      </c>
      <c r="W54" s="61">
        <f>'2. Consolidated'!BB65</f>
        <v>0</v>
      </c>
      <c r="X54" s="61">
        <f>'2. Consolidated'!BC65</f>
        <v>0</v>
      </c>
      <c r="Y54" s="61">
        <f>'2. Consolidated'!BD65</f>
        <v>0</v>
      </c>
      <c r="Z54" s="61">
        <f>'2. Consolidated'!BE65</f>
        <v>0</v>
      </c>
      <c r="AA54" s="62">
        <f>'2. Consolidated'!BF65</f>
        <v>0</v>
      </c>
      <c r="AB54" s="61">
        <f>'2. Consolidated'!BG65</f>
        <v>0</v>
      </c>
      <c r="AC54" s="61">
        <f>'2. Consolidated'!BH65</f>
        <v>0</v>
      </c>
      <c r="AD54" s="61">
        <f>'2. Consolidated'!BI65</f>
        <v>0</v>
      </c>
      <c r="AE54" s="61">
        <f>'2. Consolidated'!BJ65</f>
        <v>0</v>
      </c>
      <c r="AF54" s="62">
        <f>'2. Consolidated'!BK65</f>
        <v>0</v>
      </c>
      <c r="AG54" s="61">
        <f>'2. Consolidated'!BL65</f>
        <v>0</v>
      </c>
      <c r="AH54" s="61">
        <f>'2. Consolidated'!BM65</f>
        <v>0</v>
      </c>
      <c r="AI54" s="61">
        <f>'2. Consolidated'!BN65</f>
        <v>0</v>
      </c>
      <c r="AJ54" s="61">
        <f>'2. Consolidated'!BO65</f>
        <v>0</v>
      </c>
      <c r="AK54" s="62">
        <f>'2. Consolidated'!BP65</f>
        <v>0</v>
      </c>
      <c r="AL54" s="61">
        <f>'2. Consolidated'!BQ65</f>
        <v>0</v>
      </c>
      <c r="AM54" s="61">
        <f>'2. Consolidated'!BR65</f>
        <v>0</v>
      </c>
      <c r="AN54" s="61">
        <f>'2. Consolidated'!BS65</f>
        <v>0</v>
      </c>
      <c r="AO54" s="61">
        <f>'2. Consolidated'!BT65</f>
        <v>0</v>
      </c>
      <c r="AP54" s="62">
        <f>'2. Consolidated'!BU65</f>
        <v>0</v>
      </c>
      <c r="AQ54" s="61">
        <f>'2. Consolidated'!BV65</f>
        <v>0</v>
      </c>
      <c r="AR54" s="61">
        <f>'2. Consolidated'!BW65</f>
        <v>0</v>
      </c>
      <c r="AS54" s="61">
        <f>'2. Consolidated'!BX65</f>
        <v>0</v>
      </c>
      <c r="AT54" s="61">
        <f>'2. Consolidated'!BY65</f>
        <v>0</v>
      </c>
      <c r="AU54" s="62">
        <f>'2. Consolidated'!BZ65</f>
        <v>0</v>
      </c>
      <c r="AV54" s="61">
        <f>'2. Consolidated'!CA65</f>
        <v>0</v>
      </c>
      <c r="AW54" s="61">
        <f>'2. Consolidated'!CB65</f>
        <v>0</v>
      </c>
      <c r="AX54" s="61">
        <f>'2. Consolidated'!CC65</f>
        <v>0</v>
      </c>
      <c r="AY54" s="61">
        <f>'2. Consolidated'!CD65</f>
        <v>0</v>
      </c>
      <c r="AZ54" s="62">
        <f>'2. Consolidated'!CE65</f>
        <v>0</v>
      </c>
      <c r="BA54" s="61">
        <f>'2. Consolidated'!CF65</f>
        <v>0</v>
      </c>
      <c r="BB54" s="61">
        <f>'2. Consolidated'!CG65</f>
        <v>0</v>
      </c>
      <c r="BC54" s="61">
        <f>'2. Consolidated'!CH65</f>
        <v>0</v>
      </c>
      <c r="BD54" s="61">
        <f>'2. Consolidated'!CI65</f>
        <v>0</v>
      </c>
      <c r="BE54" s="62">
        <f>'2. Consolidated'!CJ65</f>
        <v>0</v>
      </c>
      <c r="BF54" s="61">
        <f>'2. Consolidated'!CK65</f>
        <v>0</v>
      </c>
      <c r="BG54" s="61">
        <f>'2. Consolidated'!CL65</f>
        <v>0</v>
      </c>
      <c r="BH54" s="61">
        <f>'2. Consolidated'!CM65</f>
        <v>0</v>
      </c>
      <c r="BI54" s="61">
        <f>'2. Consolidated'!CN65</f>
        <v>0</v>
      </c>
      <c r="BJ54" s="62">
        <f>'2. Consolidated'!CO65</f>
        <v>0</v>
      </c>
      <c r="BK54" s="61">
        <f>'2. Consolidated'!CP65</f>
        <v>0</v>
      </c>
      <c r="BL54" s="61">
        <f>'2. Consolidated'!CQ65</f>
        <v>0</v>
      </c>
      <c r="BM54" s="61">
        <f>'2. Consolidated'!CR65</f>
        <v>0</v>
      </c>
      <c r="BN54" s="61">
        <f>'2. Consolidated'!CS65</f>
        <v>0</v>
      </c>
      <c r="BO54" s="62">
        <f>'2. Consolidated'!CT65</f>
        <v>0</v>
      </c>
      <c r="BP54" s="61">
        <f>'2. Consolidated'!CU65</f>
        <v>0</v>
      </c>
      <c r="BQ54" s="61">
        <f>'2. Consolidated'!CV65</f>
        <v>0</v>
      </c>
      <c r="BR54" s="61">
        <f>'2. Consolidated'!CW65</f>
        <v>0</v>
      </c>
      <c r="BS54" s="61">
        <f>'2. Consolidated'!CX65</f>
        <v>0</v>
      </c>
      <c r="BT54" s="62">
        <f>'2. Consolidated'!CY65</f>
        <v>0</v>
      </c>
      <c r="BU54" s="61">
        <f>'2. Consolidated'!CZ65</f>
        <v>0</v>
      </c>
      <c r="BV54" s="61">
        <f>'2. Consolidated'!DA65</f>
        <v>0</v>
      </c>
      <c r="BW54" s="61">
        <f>'2. Consolidated'!DB65</f>
        <v>0</v>
      </c>
      <c r="BX54" s="61">
        <f>'2. Consolidated'!DC65</f>
        <v>0</v>
      </c>
      <c r="BY54" s="62">
        <f>'2. Consolidated'!DD65</f>
        <v>0</v>
      </c>
      <c r="BZ54" s="61">
        <f>'2. Consolidated'!DE65</f>
        <v>0</v>
      </c>
      <c r="CA54" s="61">
        <f>'2. Consolidated'!DF65</f>
        <v>0</v>
      </c>
      <c r="CB54" s="61">
        <f>'2. Consolidated'!DG65</f>
        <v>0</v>
      </c>
      <c r="CC54" s="61">
        <f>'2. Consolidated'!DH65</f>
        <v>0</v>
      </c>
      <c r="CD54" s="62">
        <f>'2. Consolidated'!DI65</f>
        <v>0</v>
      </c>
      <c r="CE54" s="61">
        <f>'2. Consolidated'!DJ65</f>
        <v>0</v>
      </c>
      <c r="CF54" s="61">
        <f>'2. Consolidated'!DK65</f>
        <v>0</v>
      </c>
      <c r="CG54" s="61">
        <f>'2. Consolidated'!DL65</f>
        <v>0</v>
      </c>
      <c r="CH54" s="61">
        <f>'2. Consolidated'!DM65</f>
        <v>0</v>
      </c>
      <c r="CI54" s="62">
        <f>'2. Consolidated'!DN65</f>
        <v>0</v>
      </c>
      <c r="CJ54" s="61">
        <f>'2. Consolidated'!DO65</f>
        <v>0</v>
      </c>
      <c r="CK54" s="61">
        <f>'2. Consolidated'!DP65</f>
        <v>0</v>
      </c>
      <c r="CL54" s="61">
        <f>'2. Consolidated'!DQ65</f>
        <v>0</v>
      </c>
      <c r="CM54" s="61">
        <f>'2. Consolidated'!DR65</f>
        <v>0</v>
      </c>
      <c r="CN54" s="62">
        <f>'2. Consolidated'!DS65</f>
        <v>0</v>
      </c>
    </row>
    <row r="55" ht="15" customHeight="1" spans="2:92">
      <c r="B55" s="39" t="s">
        <v>240</v>
      </c>
      <c r="C55" s="40">
        <f>'2. Consolidated'!AH66</f>
        <v>33.372</v>
      </c>
      <c r="D55" s="40">
        <f>'2. Consolidated'!AI66</f>
        <v>38.379</v>
      </c>
      <c r="E55" s="40">
        <f>'2. Consolidated'!AJ66</f>
        <v>38.794</v>
      </c>
      <c r="F55" s="40">
        <f>'2. Consolidated'!AK66</f>
        <v>73.518</v>
      </c>
      <c r="G55" s="41">
        <f>'2. Consolidated'!AL66</f>
        <v>184.063</v>
      </c>
      <c r="H55" s="40">
        <f>'2. Consolidated'!AM66</f>
        <v>46.643</v>
      </c>
      <c r="I55" s="40">
        <f>'2. Consolidated'!AN66</f>
        <v>57.222</v>
      </c>
      <c r="J55" s="40">
        <f>'2. Consolidated'!AO66</f>
        <v>57.3160000000001</v>
      </c>
      <c r="K55" s="40">
        <f>'2. Consolidated'!AP66</f>
        <v>109.375</v>
      </c>
      <c r="L55" s="41">
        <f>'2. Consolidated'!AQ66</f>
        <v>270.556</v>
      </c>
      <c r="M55" s="40">
        <f>'2. Consolidated'!AR66</f>
        <v>47.2790000000001</v>
      </c>
      <c r="N55" s="40">
        <f>'2. Consolidated'!AS66</f>
        <v>56.465</v>
      </c>
      <c r="O55" s="40">
        <f>'2. Consolidated'!AT66</f>
        <v>66.111</v>
      </c>
      <c r="P55" s="40">
        <f>'2. Consolidated'!AU66</f>
        <v>109.692</v>
      </c>
      <c r="Q55" s="41">
        <f>'2. Consolidated'!AV66</f>
        <v>279.547</v>
      </c>
      <c r="R55" s="40">
        <f>'2. Consolidated'!AW66</f>
        <v>52.681</v>
      </c>
      <c r="S55" s="40">
        <f>'2. Consolidated'!AX66</f>
        <v>48.767</v>
      </c>
      <c r="T55" s="40">
        <f>'2. Consolidated'!AY66</f>
        <v>60.451</v>
      </c>
      <c r="U55" s="40">
        <f>'2. Consolidated'!AZ66</f>
        <v>110.853</v>
      </c>
      <c r="V55" s="41">
        <f>'2. Consolidated'!BA66</f>
        <v>272.733</v>
      </c>
      <c r="W55" s="40">
        <f>'2. Consolidated'!BB66</f>
        <v>47.81</v>
      </c>
      <c r="X55" s="40">
        <f>'2. Consolidated'!BC66</f>
        <v>47.668</v>
      </c>
      <c r="Y55" s="40">
        <f>'2. Consolidated'!BD66</f>
        <v>49.046</v>
      </c>
      <c r="Z55" s="40">
        <f>'2. Consolidated'!BE66</f>
        <v>117.416</v>
      </c>
      <c r="AA55" s="41">
        <f>'2. Consolidated'!BF66</f>
        <v>261.94</v>
      </c>
      <c r="AB55" s="40">
        <f>'2. Consolidated'!BG66</f>
        <v>40.936</v>
      </c>
      <c r="AC55" s="40">
        <f>'2. Consolidated'!BH66</f>
        <v>52.025</v>
      </c>
      <c r="AD55" s="40">
        <f>'2. Consolidated'!BI66</f>
        <v>64.4850000000001</v>
      </c>
      <c r="AE55" s="40">
        <f>'2. Consolidated'!BJ66</f>
        <v>137.055284</v>
      </c>
      <c r="AF55" s="41">
        <f>'2. Consolidated'!BK66</f>
        <v>294.501284</v>
      </c>
      <c r="AG55" s="40">
        <f>'2. Consolidated'!BL66</f>
        <v>44.312</v>
      </c>
      <c r="AH55" s="40">
        <f>'2. Consolidated'!BM66</f>
        <v>52.7510000000001</v>
      </c>
      <c r="AI55" s="40">
        <f>'2. Consolidated'!BN66</f>
        <v>75.3320000000001</v>
      </c>
      <c r="AJ55" s="40">
        <f>'2. Consolidated'!BO66</f>
        <v>180.058</v>
      </c>
      <c r="AK55" s="41">
        <f>'2. Consolidated'!BP66</f>
        <v>352.437</v>
      </c>
      <c r="AL55" s="40">
        <f>'2. Consolidated'!BQ66</f>
        <v>75.153</v>
      </c>
      <c r="AM55" s="40">
        <f>'2. Consolidated'!BR66</f>
        <v>95.77</v>
      </c>
      <c r="AN55" s="40">
        <f>'2. Consolidated'!BS66</f>
        <v>99.576</v>
      </c>
      <c r="AO55" s="40">
        <f>'2. Consolidated'!BT66</f>
        <v>244.48</v>
      </c>
      <c r="AP55" s="41">
        <f>'2. Consolidated'!BU66</f>
        <v>514.979</v>
      </c>
      <c r="AQ55" s="40">
        <f>'2. Consolidated'!BV66</f>
        <v>96.603</v>
      </c>
      <c r="AR55" s="40">
        <f>'2. Consolidated'!BW66</f>
        <v>124.99</v>
      </c>
      <c r="AS55" s="40">
        <f>'2. Consolidated'!BX66</f>
        <v>125.982</v>
      </c>
      <c r="AT55" s="40">
        <f>'2. Consolidated'!BY66</f>
        <v>298.021</v>
      </c>
      <c r="AU55" s="41">
        <f>'2. Consolidated'!BZ66</f>
        <v>645.596</v>
      </c>
      <c r="AV55" s="40">
        <f>'2. Consolidated'!CA66</f>
        <v>28.632</v>
      </c>
      <c r="AW55" s="40">
        <f>'2. Consolidated'!CB66</f>
        <v>96.2980000000001</v>
      </c>
      <c r="AX55" s="40">
        <f>'2. Consolidated'!CC66</f>
        <v>151.278</v>
      </c>
      <c r="AY55" s="40">
        <f>'2. Consolidated'!CD66</f>
        <v>337.371</v>
      </c>
      <c r="AZ55" s="41">
        <f>'2. Consolidated'!CE66</f>
        <v>613.579</v>
      </c>
      <c r="BA55" s="40">
        <f>'2. Consolidated'!CF66</f>
        <v>152.248</v>
      </c>
      <c r="BB55" s="40">
        <f>'2. Consolidated'!CG66</f>
        <v>215.783</v>
      </c>
      <c r="BC55" s="40">
        <f>'2. Consolidated'!CH66</f>
        <v>211.304</v>
      </c>
      <c r="BD55" s="40">
        <f>'2. Consolidated'!CI66</f>
        <v>435.964</v>
      </c>
      <c r="BE55" s="41">
        <f>'2. Consolidated'!CJ66</f>
        <v>1015.299</v>
      </c>
      <c r="BF55" s="40">
        <f>'2. Consolidated'!CK66</f>
        <v>189.998</v>
      </c>
      <c r="BG55" s="40">
        <f>'2. Consolidated'!CL66</f>
        <v>281.002</v>
      </c>
      <c r="BH55" s="40">
        <f>'2. Consolidated'!CM66</f>
        <v>255.47</v>
      </c>
      <c r="BI55" s="40">
        <f>'2. Consolidated'!CN66</f>
        <v>562.481</v>
      </c>
      <c r="BJ55" s="41">
        <f>'2. Consolidated'!CO66</f>
        <v>1288.951</v>
      </c>
      <c r="BK55" s="40">
        <f>'2. Consolidated'!CP66</f>
        <v>290.405</v>
      </c>
      <c r="BL55" s="40">
        <f>'2. Consolidated'!CQ66</f>
        <v>341.603</v>
      </c>
      <c r="BM55" s="40">
        <f>'2. Consolidated'!CR66</f>
        <v>320.839</v>
      </c>
      <c r="BN55" s="40">
        <f>'2. Consolidated'!CS66</f>
        <v>669.468</v>
      </c>
      <c r="BO55" s="41">
        <f>'2. Consolidated'!CT66</f>
        <v>1622.315</v>
      </c>
      <c r="BP55" s="40">
        <f>'2. Consolidated'!CU66</f>
        <v>321.421</v>
      </c>
      <c r="BQ55" s="40">
        <f>'2. Consolidated'!CV66</f>
        <v>392.922</v>
      </c>
      <c r="BR55" s="40">
        <f>'2. Consolidated'!CW66</f>
        <v>351.87</v>
      </c>
      <c r="BS55" s="40">
        <f>'2. Consolidated'!CX66</f>
        <v>748.403</v>
      </c>
      <c r="BT55" s="41">
        <f>'2. Consolidated'!CY66</f>
        <v>1814.616</v>
      </c>
      <c r="BU55" s="40">
        <f>'2. Consolidated'!CZ66</f>
        <v>314.572</v>
      </c>
      <c r="BV55" s="40">
        <f>'2. Consolidated'!DA66</f>
        <v>370.905</v>
      </c>
      <c r="BW55" s="40">
        <f>'2. Consolidated'!DB66</f>
        <v>306.835</v>
      </c>
      <c r="BX55" s="40">
        <f>'2. Consolidated'!DC66</f>
        <v>586.871</v>
      </c>
      <c r="BY55" s="41">
        <f>'2. Consolidated'!DD66</f>
        <v>1579.183</v>
      </c>
      <c r="BZ55" s="40">
        <f>'2. Consolidated'!DE66</f>
        <v>195.048</v>
      </c>
      <c r="CA55" s="40">
        <f>'2. Consolidated'!DF66</f>
        <v>329.223</v>
      </c>
      <c r="CB55" s="40">
        <f>'2. Consolidated'!DG66</f>
        <v>108.632483150945</v>
      </c>
      <c r="CC55" s="40">
        <f>'2. Consolidated'!DH66</f>
        <v>446.944336754242</v>
      </c>
      <c r="CD55" s="41">
        <f>'2. Consolidated'!DI66</f>
        <v>1079.84781990519</v>
      </c>
      <c r="CE55" s="40">
        <f>'2. Consolidated'!DJ66</f>
        <v>169.831491949796</v>
      </c>
      <c r="CF55" s="40">
        <f>'2. Consolidated'!DK66</f>
        <v>201.698216880905</v>
      </c>
      <c r="CG55" s="40">
        <f>'2. Consolidated'!DL66</f>
        <v>93.9534273593428</v>
      </c>
      <c r="CH55" s="40">
        <f>'2. Consolidated'!DM66</f>
        <v>419.050109689198</v>
      </c>
      <c r="CI55" s="41">
        <f>'2. Consolidated'!DN66</f>
        <v>884.533245879241</v>
      </c>
      <c r="CJ55" s="40">
        <f>'2. Consolidated'!DO66</f>
        <v>162.634184786368</v>
      </c>
      <c r="CK55" s="40">
        <f>'2. Consolidated'!DP66</f>
        <v>194.749547374482</v>
      </c>
      <c r="CL55" s="40">
        <f>'2. Consolidated'!DQ66</f>
        <v>86.2814452137036</v>
      </c>
      <c r="CM55" s="40">
        <f>'2. Consolidated'!DR66</f>
        <v>408.732506278539</v>
      </c>
      <c r="CN55" s="41">
        <f>'2. Consolidated'!DS66</f>
        <v>852.397683653093</v>
      </c>
    </row>
    <row r="56" ht="15" customHeight="1" spans="2:92">
      <c r="B56" s="60" t="s">
        <v>86</v>
      </c>
      <c r="C56" s="36">
        <f>'2. Consolidated'!AH70</f>
        <v>144.91</v>
      </c>
      <c r="D56" s="36">
        <f>'2. Consolidated'!AI70</f>
        <v>145.228</v>
      </c>
      <c r="E56" s="36">
        <f>'2. Consolidated'!AJ70</f>
        <v>145.349</v>
      </c>
      <c r="F56" s="36">
        <f>'2. Consolidated'!AK70</f>
        <v>145.278</v>
      </c>
      <c r="G56" s="37">
        <f>'2. Consolidated'!AL70</f>
        <v>145.278</v>
      </c>
      <c r="H56" s="36">
        <f>'2. Consolidated'!AM70</f>
        <v>145.637</v>
      </c>
      <c r="I56" s="36">
        <f>'2. Consolidated'!AN70</f>
        <v>145.678</v>
      </c>
      <c r="J56" s="36">
        <f>'2. Consolidated'!AO70</f>
        <v>145.748</v>
      </c>
      <c r="K56" s="36">
        <f>'2. Consolidated'!AP70</f>
        <v>145.846</v>
      </c>
      <c r="L56" s="37">
        <f>'2. Consolidated'!AQ70</f>
        <v>145.72725</v>
      </c>
      <c r="M56" s="36">
        <f>'2. Consolidated'!AR70</f>
        <v>145.849</v>
      </c>
      <c r="N56" s="36">
        <f>'2. Consolidated'!AS70</f>
        <v>145.916</v>
      </c>
      <c r="O56" s="36">
        <f>'2. Consolidated'!AT70</f>
        <v>146.014</v>
      </c>
      <c r="P56" s="36">
        <f>'2. Consolidated'!AU70</f>
        <v>146.035</v>
      </c>
      <c r="Q56" s="37">
        <f>'2. Consolidated'!AV70</f>
        <v>145.9535</v>
      </c>
      <c r="R56" s="36">
        <f>'2. Consolidated'!AW70</f>
        <v>145.861</v>
      </c>
      <c r="S56" s="36">
        <f>'2. Consolidated'!AX70</f>
        <v>145.544</v>
      </c>
      <c r="T56" s="36">
        <f>'2. Consolidated'!AY70</f>
        <v>143.441</v>
      </c>
      <c r="U56" s="36">
        <f>'2. Consolidated'!AZ70</f>
        <v>142.346</v>
      </c>
      <c r="V56" s="37">
        <f>'2. Consolidated'!BA70</f>
        <v>144.298</v>
      </c>
      <c r="W56" s="36">
        <f>'2. Consolidated'!BB70</f>
        <v>142.337</v>
      </c>
      <c r="X56" s="36">
        <f>'2. Consolidated'!BC70</f>
        <v>141.644</v>
      </c>
      <c r="Y56" s="36">
        <f>'2. Consolidated'!BD70</f>
        <v>140.457</v>
      </c>
      <c r="Z56" s="36">
        <f>'2. Consolidated'!BE70</f>
        <v>138.24</v>
      </c>
      <c r="AA56" s="37">
        <f>'2. Consolidated'!BF70</f>
        <v>140.6695</v>
      </c>
      <c r="AB56" s="36">
        <f>'2. Consolidated'!BG70</f>
        <v>137.495</v>
      </c>
      <c r="AC56" s="36">
        <f>'2. Consolidated'!BH70</f>
        <v>137.229</v>
      </c>
      <c r="AD56" s="36">
        <f>'2. Consolidated'!BI70</f>
        <v>137.237</v>
      </c>
      <c r="AE56" s="36">
        <f>'2. Consolidated'!BJ70</f>
        <v>137.245</v>
      </c>
      <c r="AF56" s="37">
        <f>'2. Consolidated'!BK70</f>
        <v>137.30175</v>
      </c>
      <c r="AG56" s="36">
        <f>'2. Consolidated'!BL70</f>
        <v>137.2</v>
      </c>
      <c r="AH56" s="36">
        <f>'2. Consolidated'!BM70</f>
        <v>136.303</v>
      </c>
      <c r="AI56" s="36">
        <f>'2. Consolidated'!BN70</f>
        <v>135.578</v>
      </c>
      <c r="AJ56" s="36">
        <f>'2. Consolidated'!BO70</f>
        <v>135.723</v>
      </c>
      <c r="AK56" s="37">
        <f>'2. Consolidated'!BP70</f>
        <v>136.198</v>
      </c>
      <c r="AL56" s="36">
        <f>'2. Consolidated'!BQ70</f>
        <v>135.931</v>
      </c>
      <c r="AM56" s="36">
        <f>'2. Consolidated'!BR70</f>
        <v>134.53</v>
      </c>
      <c r="AN56" s="36">
        <f>'2. Consolidated'!BS70</f>
        <v>133.077</v>
      </c>
      <c r="AO56" s="36">
        <f>'2. Consolidated'!BT70</f>
        <v>132.465</v>
      </c>
      <c r="AP56" s="37">
        <f>'2. Consolidated'!BU70</f>
        <v>133.971</v>
      </c>
      <c r="AQ56" s="36">
        <f>'2. Consolidated'!BV70</f>
        <v>131.337</v>
      </c>
      <c r="AR56" s="36">
        <f>'2. Consolidated'!BW70</f>
        <v>130.783</v>
      </c>
      <c r="AS56" s="36">
        <f>'2. Consolidated'!BX70</f>
        <v>130.805</v>
      </c>
      <c r="AT56" s="36">
        <f>'2. Consolidated'!BY70</f>
        <v>130.896</v>
      </c>
      <c r="AU56" s="37">
        <f>'2. Consolidated'!BZ70</f>
        <v>130.95525</v>
      </c>
      <c r="AV56" s="36">
        <f>'2. Consolidated'!CA70</f>
        <v>130.803</v>
      </c>
      <c r="AW56" s="36">
        <f>'2. Consolidated'!CB70</f>
        <v>130.799</v>
      </c>
      <c r="AX56" s="36">
        <f>'2. Consolidated'!CC70</f>
        <v>130.924</v>
      </c>
      <c r="AY56" s="36">
        <f>'2. Consolidated'!CD70</f>
        <v>130.956</v>
      </c>
      <c r="AZ56" s="37">
        <f>'2. Consolidated'!CE70</f>
        <v>130.8705</v>
      </c>
      <c r="BA56" s="36">
        <f>'2. Consolidated'!CF70</f>
        <v>130.984</v>
      </c>
      <c r="BB56" s="36">
        <f>'2. Consolidated'!CG70</f>
        <v>130.49</v>
      </c>
      <c r="BC56" s="36">
        <f>'2. Consolidated'!CH70</f>
        <v>130.189</v>
      </c>
      <c r="BD56" s="36">
        <f>'2. Consolidated'!CI70</f>
        <v>129.508</v>
      </c>
      <c r="BE56" s="37">
        <f>'2. Consolidated'!CJ70</f>
        <v>130.29275</v>
      </c>
      <c r="BF56" s="36">
        <f>'2. Consolidated'!CK70</f>
        <v>128.541</v>
      </c>
      <c r="BG56" s="36">
        <f>'2. Consolidated'!CL70</f>
        <v>127.906</v>
      </c>
      <c r="BH56" s="36">
        <f>'2. Consolidated'!CM70</f>
        <v>127.82</v>
      </c>
      <c r="BI56" s="36">
        <f>'2. Consolidated'!CN70</f>
        <v>127.802</v>
      </c>
      <c r="BJ56" s="37">
        <f>'2. Consolidated'!CO70</f>
        <v>128.01725</v>
      </c>
      <c r="BK56" s="36">
        <f>'2. Consolidated'!CP70</f>
        <v>127.621</v>
      </c>
      <c r="BL56" s="36">
        <f>'2. Consolidated'!CQ70</f>
        <v>127.263</v>
      </c>
      <c r="BM56" s="36">
        <f>'2. Consolidated'!CR70</f>
        <v>126.77</v>
      </c>
      <c r="BN56" s="36">
        <f>'2. Consolidated'!CS70</f>
        <v>126.584</v>
      </c>
      <c r="BO56" s="37">
        <f>'2. Consolidated'!CT70</f>
        <v>127.0595</v>
      </c>
      <c r="BP56" s="36">
        <f>'2. Consolidated'!CU70</f>
        <v>126.336</v>
      </c>
      <c r="BQ56" s="36">
        <f>'2. Consolidated'!CV70</f>
        <v>124.857</v>
      </c>
      <c r="BR56" s="36">
        <f>'2. Consolidated'!CW70</f>
        <v>122.803</v>
      </c>
      <c r="BS56" s="36">
        <f>'2. Consolidated'!CX70</f>
        <v>121.895</v>
      </c>
      <c r="BT56" s="37">
        <f>'2. Consolidated'!CY70</f>
        <v>123.97275</v>
      </c>
      <c r="BU56" s="36">
        <f>'2. Consolidated'!CZ70</f>
        <v>120.843</v>
      </c>
      <c r="BV56" s="36">
        <f>'2. Consolidated'!DA70</f>
        <v>119.68</v>
      </c>
      <c r="BW56" s="36">
        <f>'2. Consolidated'!DB70</f>
        <v>118.552</v>
      </c>
      <c r="BX56" s="36">
        <f>'2. Consolidated'!DC70</f>
        <v>117.196</v>
      </c>
      <c r="BY56" s="37">
        <f>'2. Consolidated'!DD70</f>
        <v>119.06775</v>
      </c>
      <c r="BZ56" s="36">
        <f>'2. Consolidated'!DE70</f>
        <v>115.482</v>
      </c>
      <c r="CA56" s="36">
        <f>'2. Consolidated'!DF70</f>
        <v>112.919</v>
      </c>
      <c r="CB56" s="36">
        <f>'2. Consolidated'!DG70</f>
        <v>110.944558159767</v>
      </c>
      <c r="CC56" s="36">
        <f>'2. Consolidated'!DH70</f>
        <v>108.582169192048</v>
      </c>
      <c r="CD56" s="37">
        <f>'2. Consolidated'!DI70</f>
        <v>111.981931837954</v>
      </c>
      <c r="CE56" s="36">
        <f>'2. Consolidated'!DJ70</f>
        <v>107.35564606056</v>
      </c>
      <c r="CF56" s="36">
        <f>'2. Consolidated'!DK70</f>
        <v>106.164289660477</v>
      </c>
      <c r="CG56" s="36">
        <f>'2. Consolidated'!DL70</f>
        <v>104.996293189806</v>
      </c>
      <c r="CH56" s="36">
        <f>'2. Consolidated'!DM70</f>
        <v>103.851198610718</v>
      </c>
      <c r="CI56" s="37">
        <f>'2. Consolidated'!DN70</f>
        <v>105.59185688039</v>
      </c>
      <c r="CJ56" s="36">
        <f>'2. Consolidated'!DO70</f>
        <v>102.728556866513</v>
      </c>
      <c r="CK56" s="36">
        <f>'2. Consolidated'!DP70</f>
        <v>101.627927705528</v>
      </c>
      <c r="CL56" s="36">
        <f>'2. Consolidated'!DQ70</f>
        <v>100.548879508485</v>
      </c>
      <c r="CM56" s="36">
        <f>'2. Consolidated'!DR70</f>
        <v>99.4909891192258</v>
      </c>
      <c r="CN56" s="37">
        <f>'2. Consolidated'!DS70</f>
        <v>101.099088299938</v>
      </c>
    </row>
    <row r="57" ht="15" customHeight="1" spans="2:92">
      <c r="B57" s="63" t="s">
        <v>500</v>
      </c>
      <c r="C57" s="64">
        <f>'2. Consolidated'!AH72</f>
        <v>0.230294665654544</v>
      </c>
      <c r="D57" s="64">
        <f>'2. Consolidated'!AI72</f>
        <v>0.264267221197014</v>
      </c>
      <c r="E57" s="64">
        <f>'2. Consolidated'!AJ72</f>
        <v>0.266902421069288</v>
      </c>
      <c r="F57" s="64">
        <f>'2. Consolidated'!AK72</f>
        <v>0.506050468756453</v>
      </c>
      <c r="G57" s="65">
        <f>'2. Consolidated'!AL72</f>
        <v>1.26697091094316</v>
      </c>
      <c r="H57" s="64">
        <f>'2. Consolidated'!AM72</f>
        <v>0.320268887713974</v>
      </c>
      <c r="I57" s="64">
        <f>'2. Consolidated'!AN72</f>
        <v>0.392797814357693</v>
      </c>
      <c r="J57" s="64">
        <f>'2. Consolidated'!AO72</f>
        <v>0.393254109833411</v>
      </c>
      <c r="K57" s="64">
        <f>'2. Consolidated'!AP72</f>
        <v>0.749934862800488</v>
      </c>
      <c r="L57" s="65">
        <f>'2. Consolidated'!AQ72</f>
        <v>1.85659168069115</v>
      </c>
      <c r="M57" s="64">
        <f>'2. Consolidated'!AR72</f>
        <v>0.32416403266392</v>
      </c>
      <c r="N57" s="64">
        <f>'2. Consolidated'!AS72</f>
        <v>0.386969215164889</v>
      </c>
      <c r="O57" s="64">
        <f>'2. Consolidated'!AT72</f>
        <v>0.452771652033366</v>
      </c>
      <c r="P57" s="64">
        <f>'2. Consolidated'!AU72</f>
        <v>0.751135001883111</v>
      </c>
      <c r="Q57" s="65">
        <f>'2. Consolidated'!AV72</f>
        <v>1.9153154943184</v>
      </c>
      <c r="R57" s="64">
        <f>'2. Consolidated'!AW72</f>
        <v>0.361172623250903</v>
      </c>
      <c r="S57" s="64">
        <f>'2. Consolidated'!AX72</f>
        <v>0.335067058758863</v>
      </c>
      <c r="T57" s="64">
        <f>'2. Consolidated'!AY72</f>
        <v>0.421434596802866</v>
      </c>
      <c r="U57" s="64">
        <f>'2. Consolidated'!AZ72</f>
        <v>0.778757393955573</v>
      </c>
      <c r="V57" s="65">
        <f>'2. Consolidated'!BA72</f>
        <v>1.89006777640716</v>
      </c>
      <c r="W57" s="64">
        <f>'2. Consolidated'!BB72</f>
        <v>0.335892986363349</v>
      </c>
      <c r="X57" s="64">
        <f>'2. Consolidated'!BC72</f>
        <v>0.336533845415267</v>
      </c>
      <c r="Y57" s="64">
        <f>'2. Consolidated'!BD72</f>
        <v>0.349188719679332</v>
      </c>
      <c r="Z57" s="64">
        <f>'2. Consolidated'!BE72</f>
        <v>0.849363425925926</v>
      </c>
      <c r="AA57" s="65">
        <f>'2. Consolidated'!BF72</f>
        <v>1.86209519476504</v>
      </c>
      <c r="AB57" s="64">
        <f>'2. Consolidated'!BG72</f>
        <v>0.297727190079639</v>
      </c>
      <c r="AC57" s="64">
        <f>'2. Consolidated'!BH72</f>
        <v>0.379110829343652</v>
      </c>
      <c r="AD57" s="64">
        <f>'2. Consolidated'!BI72</f>
        <v>0.469880571565978</v>
      </c>
      <c r="AE57" s="64">
        <f>'2. Consolidated'!BJ72</f>
        <v>0.998617683704323</v>
      </c>
      <c r="AF57" s="65">
        <f>'2. Consolidated'!BK72</f>
        <v>2.14492010480566</v>
      </c>
      <c r="AG57" s="64">
        <f>'2. Consolidated'!BL72</f>
        <v>0.322973760932945</v>
      </c>
      <c r="AH57" s="64">
        <f>'2. Consolidated'!BM72</f>
        <v>0.387012758339876</v>
      </c>
      <c r="AI57" s="64">
        <f>'2. Consolidated'!BN72</f>
        <v>0.555635870126423</v>
      </c>
      <c r="AJ57" s="64">
        <f>'2. Consolidated'!BO72</f>
        <v>1.32665797248808</v>
      </c>
      <c r="AK57" s="65">
        <f>'2. Consolidated'!BP72</f>
        <v>2.58768117006124</v>
      </c>
      <c r="AL57" s="64">
        <f>'2. Consolidated'!BQ72</f>
        <v>0.552876091546446</v>
      </c>
      <c r="AM57" s="64">
        <f>'2. Consolidated'!BR72</f>
        <v>0.71188582472311</v>
      </c>
      <c r="AN57" s="64">
        <f>'2. Consolidated'!BS72</f>
        <v>0.748258527018192</v>
      </c>
      <c r="AO57" s="64">
        <f>'2. Consolidated'!BT72</f>
        <v>1.84561959762956</v>
      </c>
      <c r="AP57" s="65">
        <f>'2. Consolidated'!BU72</f>
        <v>3.84395876719589</v>
      </c>
      <c r="AQ57" s="64">
        <f>'2. Consolidated'!BV72</f>
        <v>0.735535302313895</v>
      </c>
      <c r="AR57" s="64">
        <f>'2. Consolidated'!BW72</f>
        <v>0.955705252211679</v>
      </c>
      <c r="AS57" s="64">
        <f>'2. Consolidated'!BX72</f>
        <v>0.963128320782845</v>
      </c>
      <c r="AT57" s="64">
        <f>'2. Consolidated'!BY72</f>
        <v>2.27677698325388</v>
      </c>
      <c r="AU57" s="65">
        <f>'2. Consolidated'!BZ72</f>
        <v>4.92989780860255</v>
      </c>
      <c r="AV57" s="64">
        <f>'2. Consolidated'!CA72</f>
        <v>0.218894062062797</v>
      </c>
      <c r="AW57" s="64">
        <f>'2. Consolidated'!CB72</f>
        <v>0.736228870251302</v>
      </c>
      <c r="AX57" s="64">
        <f>'2. Consolidated'!CC72</f>
        <v>1.15546423879503</v>
      </c>
      <c r="AY57" s="64">
        <f>'2. Consolidated'!CD72</f>
        <v>2.57621643910932</v>
      </c>
      <c r="AZ57" s="65">
        <f>'2. Consolidated'!CE72</f>
        <v>4.68844391975273</v>
      </c>
      <c r="BA57" s="64">
        <f>'2. Consolidated'!CF72</f>
        <v>1.16234043852684</v>
      </c>
      <c r="BB57" s="64">
        <f>'2. Consolidated'!CG72</f>
        <v>1.65363629396889</v>
      </c>
      <c r="BC57" s="64">
        <f>'2. Consolidated'!CH72</f>
        <v>1.62305571131202</v>
      </c>
      <c r="BD57" s="64">
        <f>'2. Consolidated'!CI72</f>
        <v>3.36630941717886</v>
      </c>
      <c r="BE57" s="65">
        <f>'2. Consolidated'!CJ72</f>
        <v>7.79244432249684</v>
      </c>
      <c r="BF57" s="64">
        <f>'2. Consolidated'!CK72</f>
        <v>1.47811204207218</v>
      </c>
      <c r="BG57" s="64">
        <f>'2. Consolidated'!CL72</f>
        <v>2.19694150391694</v>
      </c>
      <c r="BH57" s="64">
        <f>'2. Consolidated'!CM72</f>
        <v>1.9986700046941</v>
      </c>
      <c r="BI57" s="64">
        <f>'2. Consolidated'!CN72</f>
        <v>4.40119090468068</v>
      </c>
      <c r="BJ57" s="65">
        <f>'2. Consolidated'!CO72</f>
        <v>10.0685727899951</v>
      </c>
      <c r="BK57" s="64">
        <f>'2. Consolidated'!CP72</f>
        <v>2.27552675500113</v>
      </c>
      <c r="BL57" s="64">
        <f>'2. Consolidated'!CQ72</f>
        <v>2.68422872319527</v>
      </c>
      <c r="BM57" s="64">
        <f>'2. Consolidated'!CR72</f>
        <v>2.53087481265283</v>
      </c>
      <c r="BN57" s="64">
        <f>'2. Consolidated'!CS72</f>
        <v>5.28872527333628</v>
      </c>
      <c r="BO57" s="65">
        <f>'2. Consolidated'!CT72</f>
        <v>12.7681519288207</v>
      </c>
      <c r="BP57" s="64">
        <f>'2. Consolidated'!CU72</f>
        <v>2.5441758485309</v>
      </c>
      <c r="BQ57" s="64">
        <f>'2. Consolidated'!CV72</f>
        <v>3.14697614070497</v>
      </c>
      <c r="BR57" s="64">
        <f>'2. Consolidated'!CW72</f>
        <v>2.86532087978307</v>
      </c>
      <c r="BS57" s="64">
        <f>'2. Consolidated'!CX72</f>
        <v>6.13973501784322</v>
      </c>
      <c r="BT57" s="65">
        <f>'2. Consolidated'!CY72</f>
        <v>14.6372166464001</v>
      </c>
      <c r="BU57" s="64">
        <f>'2. Consolidated'!CZ72</f>
        <v>2.60314623106013</v>
      </c>
      <c r="BV57" s="64">
        <f>'2. Consolidated'!DA72</f>
        <v>3.09913937165775</v>
      </c>
      <c r="BW57" s="64">
        <f>'2. Consolidated'!DB72</f>
        <v>2.58818914906539</v>
      </c>
      <c r="BX57" s="64">
        <f>'2. Consolidated'!DC72</f>
        <v>5.00760264855456</v>
      </c>
      <c r="BY57" s="65">
        <f>'2. Consolidated'!DD72</f>
        <v>13.2628944445494</v>
      </c>
      <c r="BZ57" s="64">
        <f>'2. Consolidated'!DE72</f>
        <v>1.68899049202473</v>
      </c>
      <c r="CA57" s="64">
        <f>'2. Consolidated'!DF72</f>
        <v>2.91556779638502</v>
      </c>
      <c r="CB57" s="64">
        <f>'2. Consolidated'!DG72</f>
        <v>0.979160086378532</v>
      </c>
      <c r="CC57" s="64">
        <f>'2. Consolidated'!DH72</f>
        <v>4.11618537444889</v>
      </c>
      <c r="CD57" s="65">
        <f>'2. Consolidated'!DI72</f>
        <v>9.64305403721566</v>
      </c>
      <c r="CE57" s="64">
        <f>'2. Consolidated'!DJ72</f>
        <v>1.58195212065505</v>
      </c>
      <c r="CF57" s="64">
        <f>'2. Consolidated'!DK72</f>
        <v>1.89986875554817</v>
      </c>
      <c r="CG57" s="64">
        <f>'2. Consolidated'!DL72</f>
        <v>0.894826136285585</v>
      </c>
      <c r="CH57" s="64">
        <f>'2. Consolidated'!DM72</f>
        <v>4.03510133051032</v>
      </c>
      <c r="CI57" s="65">
        <f>'2. Consolidated'!DN72</f>
        <v>8.37690776554106</v>
      </c>
      <c r="CJ57" s="64">
        <f>'2. Consolidated'!DO72</f>
        <v>1.58314484060841</v>
      </c>
      <c r="CK57" s="64">
        <f>'2. Consolidated'!DP72</f>
        <v>1.91629950321114</v>
      </c>
      <c r="CL57" s="64">
        <f>'2. Consolidated'!DQ72</f>
        <v>0.858104492416775</v>
      </c>
      <c r="CM57" s="64">
        <f>'2. Consolidated'!DR72</f>
        <v>4.1082364332385</v>
      </c>
      <c r="CN57" s="65">
        <f>'2. Consolidated'!DS72</f>
        <v>8.43130930245605</v>
      </c>
    </row>
    <row r="58" ht="15" customHeight="1" spans="2:92">
      <c r="B58" s="50" t="s">
        <v>359</v>
      </c>
      <c r="C58" s="66">
        <f>'2. Consolidated'!AH74</f>
        <v>0</v>
      </c>
      <c r="D58" s="66">
        <f>'2. Consolidated'!AI74</f>
        <v>0</v>
      </c>
      <c r="E58" s="66">
        <f>'2. Consolidated'!AJ74</f>
        <v>0</v>
      </c>
      <c r="F58" s="66">
        <f>'2. Consolidated'!AK74</f>
        <v>0</v>
      </c>
      <c r="G58" s="67">
        <f>'2. Consolidated'!AL74</f>
        <v>0.495842337574669</v>
      </c>
      <c r="H58" s="66">
        <f>'2. Consolidated'!AM74</f>
        <v>0.390691733148505</v>
      </c>
      <c r="I58" s="66">
        <f>'2. Consolidated'!AN74</f>
        <v>0.486366007023086</v>
      </c>
      <c r="J58" s="66">
        <f>'2. Consolidated'!AO74</f>
        <v>0.473400309588506</v>
      </c>
      <c r="K58" s="66">
        <f>'2. Consolidated'!AP74</f>
        <v>0.481936899778684</v>
      </c>
      <c r="L58" s="67">
        <f>'2. Consolidated'!AQ74</f>
        <v>0.465378300839656</v>
      </c>
      <c r="M58" s="66">
        <f>'2. Consolidated'!AR74</f>
        <v>0.0121621084637638</v>
      </c>
      <c r="N58" s="66">
        <f>'2. Consolidated'!AS74</f>
        <v>-0.0148386752159879</v>
      </c>
      <c r="O58" s="66">
        <f>'2. Consolidated'!AT74</f>
        <v>0.151346268765424</v>
      </c>
      <c r="P58" s="66">
        <f>'2. Consolidated'!AU74</f>
        <v>0.0016003244310332</v>
      </c>
      <c r="Q58" s="67">
        <f>'2. Consolidated'!AV74</f>
        <v>0.0316299023840187</v>
      </c>
      <c r="R58" s="20">
        <f>'2. Consolidated'!AW74</f>
        <v>0.114166245659192</v>
      </c>
      <c r="S58" s="20">
        <f>'2. Consolidated'!AX74</f>
        <v>-0.134124768513977</v>
      </c>
      <c r="T58" s="20">
        <f>'2. Consolidated'!AY74</f>
        <v>-0.0692116105099941</v>
      </c>
      <c r="U58" s="20">
        <f>'2. Consolidated'!AZ74</f>
        <v>0.0367742043749952</v>
      </c>
      <c r="V58" s="21">
        <f>'2. Consolidated'!BA74</f>
        <v>-0.0131820151751154</v>
      </c>
      <c r="W58" s="20">
        <f>'2. Consolidated'!BB74</f>
        <v>-0.0699932255662484</v>
      </c>
      <c r="X58" s="20">
        <f>'2. Consolidated'!BC74</f>
        <v>0.00437759134495797</v>
      </c>
      <c r="Y58" s="20">
        <f>'2. Consolidated'!BD74</f>
        <v>-0.171428443871513</v>
      </c>
      <c r="Z58" s="20">
        <f>'2. Consolidated'!BE74</f>
        <v>0.0906649908153312</v>
      </c>
      <c r="AA58" s="21">
        <f>'2. Consolidated'!BF74</f>
        <v>-0.0147997770192646</v>
      </c>
      <c r="AB58" s="20">
        <f>'2. Consolidated'!BG74</f>
        <v>-0.113624868137094</v>
      </c>
      <c r="AC58" s="20">
        <f>'2. Consolidated'!BH74</f>
        <v>0.126516201887056</v>
      </c>
      <c r="AD58" s="20">
        <f>'2. Consolidated'!BI74</f>
        <v>0.34563502508752</v>
      </c>
      <c r="AE58" s="20">
        <f>'2. Consolidated'!BJ74</f>
        <v>0.175724846658766</v>
      </c>
      <c r="AF58" s="21">
        <f>'2. Consolidated'!BK74</f>
        <v>0.1518853122202</v>
      </c>
      <c r="AG58" s="20">
        <f>'2. Consolidated'!BL74</f>
        <v>0.0847976661001388</v>
      </c>
      <c r="AH58" s="20">
        <f>'2. Consolidated'!BM74</f>
        <v>0.0208433217534423</v>
      </c>
      <c r="AI58" s="20">
        <f>'2. Consolidated'!BN74</f>
        <v>0.182504456982861</v>
      </c>
      <c r="AJ58" s="20">
        <f>'2. Consolidated'!BO74</f>
        <v>0.328494371907084</v>
      </c>
      <c r="AK58" s="21">
        <f>'2. Consolidated'!BP74</f>
        <v>0.206423103715417</v>
      </c>
      <c r="AL58" s="20">
        <f>'2. Consolidated'!BQ74</f>
        <v>0.711829747250686</v>
      </c>
      <c r="AM58" s="20">
        <f>'2. Consolidated'!BR74</f>
        <v>0.83943761383166</v>
      </c>
      <c r="AN58" s="20">
        <f>'2. Consolidated'!BS74</f>
        <v>0.346670665534863</v>
      </c>
      <c r="AO58" s="20">
        <f>'2. Consolidated'!BT74</f>
        <v>0.391179667935205</v>
      </c>
      <c r="AP58" s="21">
        <f>'2. Consolidated'!BU74</f>
        <v>0.485483919607036</v>
      </c>
      <c r="AQ58" s="20">
        <f>'2. Consolidated'!BV74</f>
        <v>0.330380013822869</v>
      </c>
      <c r="AR58" s="20">
        <f>'2. Consolidated'!BW74</f>
        <v>0.34249793860329</v>
      </c>
      <c r="AS58" s="20">
        <f>'2. Consolidated'!BX74</f>
        <v>0.287159833140703</v>
      </c>
      <c r="AT58" s="20">
        <f>'2. Consolidated'!BY74</f>
        <v>0.233611187363896</v>
      </c>
      <c r="AU58" s="21">
        <f>'2. Consolidated'!BZ74</f>
        <v>0.282505382387034</v>
      </c>
      <c r="AV58" s="20">
        <f>'2. Consolidated'!CA74</f>
        <v>-0.702401691157195</v>
      </c>
      <c r="AW58" s="20">
        <f>'2. Consolidated'!CB74</f>
        <v>-0.229648609184126</v>
      </c>
      <c r="AX58" s="20">
        <f>'2. Consolidated'!CC74</f>
        <v>0.199699161432453</v>
      </c>
      <c r="AY58" s="20">
        <f>'2. Consolidated'!CD74</f>
        <v>0.13151901045112</v>
      </c>
      <c r="AZ58" s="21">
        <f>'2. Consolidated'!CE74</f>
        <v>-0.0489774632708386</v>
      </c>
      <c r="BA58" s="20">
        <f>'2. Consolidated'!CF74</f>
        <v>4.31005924771677</v>
      </c>
      <c r="BB58" s="20">
        <f>'2. Consolidated'!CG74</f>
        <v>1.24608998748506</v>
      </c>
      <c r="BC58" s="20">
        <f>'2. Consolidated'!CH74</f>
        <v>0.404678445959191</v>
      </c>
      <c r="BD58" s="20">
        <f>'2. Consolidated'!CI74</f>
        <v>0.306687344306639</v>
      </c>
      <c r="BE58" s="21">
        <f>'2. Consolidated'!CJ74</f>
        <v>0.662053435184911</v>
      </c>
      <c r="BF58" s="20">
        <f>'2. Consolidated'!CK74</f>
        <v>0.271668775411055</v>
      </c>
      <c r="BG58" s="20">
        <f>'2. Consolidated'!CL74</f>
        <v>0.328551817548748</v>
      </c>
      <c r="BH58" s="20">
        <f>'2. Consolidated'!CM74</f>
        <v>0.231424153073866</v>
      </c>
      <c r="BI58" s="20">
        <f>'2. Consolidated'!CN74</f>
        <v>0.307423162654222</v>
      </c>
      <c r="BJ58" s="21">
        <f>'2. Consolidated'!CO74</f>
        <v>0.292094286888527</v>
      </c>
      <c r="BK58" s="20">
        <f>'2. Consolidated'!CP74</f>
        <v>0.539481913570674</v>
      </c>
      <c r="BL58" s="20">
        <f>'2. Consolidated'!CQ74</f>
        <v>0.221802546134954</v>
      </c>
      <c r="BM58" s="20">
        <f>'2. Consolidated'!CR74</f>
        <v>0.266279479208069</v>
      </c>
      <c r="BN58" s="20">
        <f>'2. Consolidated'!CS74</f>
        <v>0.201657775787846</v>
      </c>
      <c r="BO58" s="21">
        <f>'2. Consolidated'!CT74</f>
        <v>0.268119344730581</v>
      </c>
      <c r="BP58" s="20">
        <f>'2. Consolidated'!CU74</f>
        <v>0.118060177907965</v>
      </c>
      <c r="BQ58" s="20">
        <f>'2. Consolidated'!CV74</f>
        <v>0.172394928014497</v>
      </c>
      <c r="BR58" s="20">
        <f>'2. Consolidated'!CW74</f>
        <v>0.132146428364692</v>
      </c>
      <c r="BS58" s="20">
        <f>'2. Consolidated'!CX74</f>
        <v>0.160910181664645</v>
      </c>
      <c r="BT58" s="21">
        <f>'2. Consolidated'!CY74</f>
        <v>0.146384905818707</v>
      </c>
      <c r="BU58" s="20">
        <f>'2. Consolidated'!CZ74</f>
        <v>0.0231785796423163</v>
      </c>
      <c r="BV58" s="20">
        <f>'2. Consolidated'!DA74</f>
        <v>-0.0152008680423288</v>
      </c>
      <c r="BW58" s="20">
        <f>'2. Consolidated'!DB74</f>
        <v>-0.0967192654313318</v>
      </c>
      <c r="BX58" s="20">
        <f>'2. Consolidated'!DC74</f>
        <v>-0.184394337214632</v>
      </c>
      <c r="BY58" s="21">
        <f>'2. Consolidated'!DD74</f>
        <v>-0.0938923181265261</v>
      </c>
      <c r="BZ58" s="20">
        <f>'2. Consolidated'!DE74</f>
        <v>-0.351173410132674</v>
      </c>
      <c r="CA58" s="20">
        <f>'2. Consolidated'!DF74</f>
        <v>-0.0592330815940501</v>
      </c>
      <c r="CB58" s="20">
        <f>'2. Consolidated'!DG74</f>
        <v>-0.621681403489342</v>
      </c>
      <c r="CC58" s="20">
        <f>'2. Consolidated'!DH74</f>
        <v>-0.178012781098552</v>
      </c>
      <c r="CD58" s="21">
        <f>'2. Consolidated'!DI74</f>
        <v>-0.272929896446653</v>
      </c>
      <c r="CE58" s="20">
        <f>'2. Consolidated'!DJ74</f>
        <v>-0.063374170473491</v>
      </c>
      <c r="CF58" s="20">
        <f>'2. Consolidated'!DK74</f>
        <v>-0.348370921813651</v>
      </c>
      <c r="CG58" s="20">
        <f>'2. Consolidated'!DL74</f>
        <v>-0.0861288682679658</v>
      </c>
      <c r="CH58" s="20">
        <f>'2. Consolidated'!DM74</f>
        <v>-0.0196988319432589</v>
      </c>
      <c r="CI58" s="21">
        <f>'2. Consolidated'!DN74</f>
        <v>-0.131301376803255</v>
      </c>
      <c r="CJ58" s="20">
        <f>'2. Consolidated'!DO74</f>
        <v>0.000753954520989364</v>
      </c>
      <c r="CK58" s="20">
        <f>'2. Consolidated'!DP74</f>
        <v>0.00864835932218222</v>
      </c>
      <c r="CL58" s="20">
        <f>'2. Consolidated'!DQ74</f>
        <v>-0.0410377417240426</v>
      </c>
      <c r="CM58" s="20">
        <f>'2. Consolidated'!DR74</f>
        <v>0.0181247251897223</v>
      </c>
      <c r="CN58" s="21">
        <f>'2. Consolidated'!DS74</f>
        <v>0.00649422656159326</v>
      </c>
    </row>
    <row r="59" ht="15" customHeight="1" spans="2:92">
      <c r="B59" s="63" t="s">
        <v>90</v>
      </c>
      <c r="C59" s="64">
        <f>'2. Consolidated'!AH76</f>
        <v>0.230294665654544</v>
      </c>
      <c r="D59" s="64">
        <f>'2. Consolidated'!AI76</f>
        <v>0.264267221197014</v>
      </c>
      <c r="E59" s="64">
        <f>'2. Consolidated'!AJ76</f>
        <v>0.266902421069288</v>
      </c>
      <c r="F59" s="64">
        <f>'2. Consolidated'!AK76</f>
        <v>0.506050468756453</v>
      </c>
      <c r="G59" s="65">
        <f>'2. Consolidated'!AL76</f>
        <v>1.26697091094316</v>
      </c>
      <c r="H59" s="64">
        <f>'2. Consolidated'!AM76</f>
        <v>0.320268887713974</v>
      </c>
      <c r="I59" s="64">
        <f>'2. Consolidated'!AN76</f>
        <v>0.392797814357693</v>
      </c>
      <c r="J59" s="64">
        <f>'2. Consolidated'!AO76</f>
        <v>0.393254109833411</v>
      </c>
      <c r="K59" s="64">
        <f>'2. Consolidated'!AP76</f>
        <v>0.749934862800488</v>
      </c>
      <c r="L59" s="65">
        <f>'2. Consolidated'!AQ76</f>
        <v>1.85659168069115</v>
      </c>
      <c r="M59" s="64">
        <f>'2. Consolidated'!AR76</f>
        <v>0.32416403266392</v>
      </c>
      <c r="N59" s="64">
        <f>'2. Consolidated'!AS76</f>
        <v>0.386969215164889</v>
      </c>
      <c r="O59" s="64">
        <f>'2. Consolidated'!AT76</f>
        <v>0.452771652033366</v>
      </c>
      <c r="P59" s="64">
        <f>'2. Consolidated'!AU76</f>
        <v>0.751135001883111</v>
      </c>
      <c r="Q59" s="65">
        <f>'2. Consolidated'!AV76</f>
        <v>1.9153154943184</v>
      </c>
      <c r="R59" s="64">
        <f>'2. Consolidated'!AW76</f>
        <v>0.130130740910867</v>
      </c>
      <c r="S59" s="64">
        <f>'2. Consolidated'!AX76</f>
        <v>0.335067058758863</v>
      </c>
      <c r="T59" s="64">
        <f>'2. Consolidated'!AY76</f>
        <v>0.421434596802866</v>
      </c>
      <c r="U59" s="64">
        <f>'2. Consolidated'!AZ76</f>
        <v>0.778757393955573</v>
      </c>
      <c r="V59" s="65">
        <f>'2. Consolidated'!BA76</f>
        <v>1.65652330593633</v>
      </c>
      <c r="W59" s="64">
        <f>'2. Consolidated'!BB76</f>
        <v>0.335892986363349</v>
      </c>
      <c r="X59" s="64">
        <f>'2. Consolidated'!BC76</f>
        <v>0.336533845415267</v>
      </c>
      <c r="Y59" s="64">
        <f>'2. Consolidated'!BD76</f>
        <v>0.378379148066668</v>
      </c>
      <c r="Z59" s="64">
        <f>'2. Consolidated'!BE76</f>
        <v>0.849363425925926</v>
      </c>
      <c r="AA59" s="65">
        <f>'2. Consolidated'!BF76</f>
        <v>1.89124152712564</v>
      </c>
      <c r="AB59" s="64">
        <f>'2. Consolidated'!BG76</f>
        <v>0.329728353758318</v>
      </c>
      <c r="AC59" s="64">
        <f>'2. Consolidated'!BH76</f>
        <v>0.390770172485408</v>
      </c>
      <c r="AD59" s="64">
        <f>'2. Consolidated'!BI76</f>
        <v>0.497569897330895</v>
      </c>
      <c r="AE59" s="64">
        <f>'2. Consolidated'!BJ76</f>
        <v>0.991899770483441</v>
      </c>
      <c r="AF59" s="65">
        <f>'2. Consolidated'!BK76</f>
        <v>2.21096745390835</v>
      </c>
      <c r="AG59" s="64">
        <f>'2. Consolidated'!BL76</f>
        <v>0.227740524781341</v>
      </c>
      <c r="AH59" s="64">
        <f>'2. Consolidated'!BM76</f>
        <v>0.357372911821457</v>
      </c>
      <c r="AI59" s="64">
        <f>'2. Consolidated'!BN76</f>
        <v>0.434878815147001</v>
      </c>
      <c r="AJ59" s="64">
        <f>'2. Consolidated'!BO76</f>
        <v>0.882392814777157</v>
      </c>
      <c r="AK59" s="65">
        <f>'2. Consolidated'!BP76</f>
        <v>1.89915417260165</v>
      </c>
      <c r="AL59" s="64">
        <f>'2. Consolidated'!BQ76</f>
        <v>0.552876091546446</v>
      </c>
      <c r="AM59" s="64">
        <f>'2. Consolidated'!BR76</f>
        <v>0.71188582472311</v>
      </c>
      <c r="AN59" s="64">
        <f>'2. Consolidated'!BS76</f>
        <v>0.709461439617665</v>
      </c>
      <c r="AO59" s="64">
        <f>'2. Consolidated'!BT76</f>
        <v>1.64922809798815</v>
      </c>
      <c r="AP59" s="65">
        <f>'2. Consolidated'!BU76</f>
        <v>3.61123676019437</v>
      </c>
      <c r="AQ59" s="64">
        <f>'2. Consolidated'!BV76</f>
        <v>0.735535302313895</v>
      </c>
      <c r="AR59" s="64">
        <f>'2. Consolidated'!BW76</f>
        <v>0.955705252211679</v>
      </c>
      <c r="AS59" s="64">
        <f>'2. Consolidated'!BX76</f>
        <v>0.963128320782845</v>
      </c>
      <c r="AT59" s="64">
        <f>'2. Consolidated'!BY76</f>
        <v>2.27677698325388</v>
      </c>
      <c r="AU59" s="65">
        <f>'2. Consolidated'!BZ76</f>
        <v>4.92989780860255</v>
      </c>
      <c r="AV59" s="64">
        <f>'2. Consolidated'!CA76</f>
        <v>0.218894062062797</v>
      </c>
      <c r="AW59" s="64">
        <f>'2. Consolidated'!CB76</f>
        <v>0.663621281508269</v>
      </c>
      <c r="AX59" s="64">
        <f>'2. Consolidated'!CC76</f>
        <v>1.09714796370413</v>
      </c>
      <c r="AY59" s="64">
        <f>'2. Consolidated'!CD76</f>
        <v>2.51870093771954</v>
      </c>
      <c r="AZ59" s="65">
        <f>'2. Consolidated'!CE76</f>
        <v>4.49998280743178</v>
      </c>
      <c r="BA59" s="64">
        <f>'2. Consolidated'!CF76</f>
        <v>1.10666951688756</v>
      </c>
      <c r="BB59" s="64">
        <f>'2. Consolidated'!CG76</f>
        <v>1.59455897003602</v>
      </c>
      <c r="BC59" s="64">
        <f>'2. Consolidated'!CH76</f>
        <v>1.44242601141417</v>
      </c>
      <c r="BD59" s="64">
        <f>'2. Consolidated'!CI76</f>
        <v>3.35503598233314</v>
      </c>
      <c r="BE59" s="65">
        <f>'2. Consolidated'!CJ76</f>
        <v>7.48561988291751</v>
      </c>
      <c r="BF59" s="64">
        <f>'2. Consolidated'!CK76</f>
        <v>1.47811204207218</v>
      </c>
      <c r="BG59" s="64">
        <f>'2. Consolidated'!CL76</f>
        <v>2.26354510343534</v>
      </c>
      <c r="BH59" s="64">
        <f>'2. Consolidated'!CM76</f>
        <v>1.9986700046941</v>
      </c>
      <c r="BI59" s="64">
        <f>'2. Consolidated'!CN76</f>
        <v>0.937473591962567</v>
      </c>
      <c r="BJ59" s="65">
        <f>'2. Consolidated'!CO76</f>
        <v>6.6772251395808</v>
      </c>
      <c r="BK59" s="64">
        <f>'2. Consolidated'!CP76</f>
        <v>2.27552675500113</v>
      </c>
      <c r="BL59" s="64">
        <f>'2. Consolidated'!CQ76</f>
        <v>2.68422872319527</v>
      </c>
      <c r="BM59" s="64">
        <f>'2. Consolidated'!CR76</f>
        <v>1.96193105624359</v>
      </c>
      <c r="BN59" s="64">
        <f>'2. Consolidated'!CS76</f>
        <v>5.28872527333628</v>
      </c>
      <c r="BO59" s="65">
        <f>'2. Consolidated'!CT76</f>
        <v>12.2005044880548</v>
      </c>
      <c r="BP59" s="64">
        <f>'2. Consolidated'!CU76</f>
        <v>2.5441758485309</v>
      </c>
      <c r="BQ59" s="64">
        <f>'2. Consolidated'!CV76</f>
        <v>3.14697614070497</v>
      </c>
      <c r="BR59" s="64">
        <f>'2. Consolidated'!CW76</f>
        <v>2.86532087978307</v>
      </c>
      <c r="BS59" s="64">
        <f>'2. Consolidated'!CX76</f>
        <v>6.13973501784322</v>
      </c>
      <c r="BT59" s="65">
        <f>'2. Consolidated'!CY76</f>
        <v>14.6372166464001</v>
      </c>
      <c r="BU59" s="64">
        <f>'2. Consolidated'!CZ76</f>
        <v>2.60314623106013</v>
      </c>
      <c r="BV59" s="64">
        <f>'2. Consolidated'!DA76</f>
        <v>3.09913937165775</v>
      </c>
      <c r="BW59" s="64">
        <f>'2. Consolidated'!DB76</f>
        <v>2.58818914906539</v>
      </c>
      <c r="BX59" s="64">
        <f>'2. Consolidated'!DC76</f>
        <v>5.00760264855456</v>
      </c>
      <c r="BY59" s="65">
        <f>'2. Consolidated'!DD76</f>
        <v>13.2628944445494</v>
      </c>
      <c r="BZ59" s="64">
        <f>'2. Consolidated'!DE76</f>
        <v>1.68899049202473</v>
      </c>
      <c r="CA59" s="64">
        <f>'2. Consolidated'!DF76</f>
        <v>2.91556779638502</v>
      </c>
      <c r="CB59" s="64">
        <f>'2. Consolidated'!DG76</f>
        <v>0.979160086378532</v>
      </c>
      <c r="CC59" s="64">
        <f>'2. Consolidated'!DH76</f>
        <v>4.11618537444889</v>
      </c>
      <c r="CD59" s="65">
        <f>'2. Consolidated'!DI76</f>
        <v>9.64305403721566</v>
      </c>
      <c r="CE59" s="64">
        <f>'2. Consolidated'!DJ76</f>
        <v>1.58195212065505</v>
      </c>
      <c r="CF59" s="64">
        <f>'2. Consolidated'!DK76</f>
        <v>1.89986875554817</v>
      </c>
      <c r="CG59" s="64">
        <f>'2. Consolidated'!DL76</f>
        <v>0.894826136285585</v>
      </c>
      <c r="CH59" s="64">
        <f>'2. Consolidated'!DM76</f>
        <v>4.03510133051032</v>
      </c>
      <c r="CI59" s="68">
        <f>'2. Consolidated'!DN76</f>
        <v>8.37690776554106</v>
      </c>
      <c r="CJ59" s="69">
        <f>'2. Consolidated'!DO76</f>
        <v>1.58314484060841</v>
      </c>
      <c r="CK59" s="64">
        <f>'2. Consolidated'!DP76</f>
        <v>1.91629950321114</v>
      </c>
      <c r="CL59" s="64">
        <f>'2. Consolidated'!DQ76</f>
        <v>0.858104492416775</v>
      </c>
      <c r="CM59" s="64">
        <f>'2. Consolidated'!DR76</f>
        <v>4.1082364332385</v>
      </c>
      <c r="CN59" s="65">
        <f>'2. Consolidated'!DS76</f>
        <v>8.43130930245605</v>
      </c>
    </row>
    <row r="60" ht="15" customHeight="1" spans="2:92">
      <c r="B60" s="70" t="s">
        <v>501</v>
      </c>
      <c r="C60" s="71"/>
      <c r="D60" s="71"/>
      <c r="E60" s="71"/>
      <c r="F60" s="71"/>
      <c r="G60" s="72"/>
      <c r="H60" s="71"/>
      <c r="I60" s="71"/>
      <c r="J60" s="71"/>
      <c r="K60" s="71"/>
      <c r="L60" s="72"/>
      <c r="M60" s="71"/>
      <c r="N60" s="71"/>
      <c r="O60" s="71"/>
      <c r="P60" s="71"/>
      <c r="Q60" s="72"/>
      <c r="R60" s="71"/>
      <c r="S60" s="71"/>
      <c r="T60" s="71"/>
      <c r="U60" s="71"/>
      <c r="V60" s="72"/>
      <c r="W60" s="71"/>
      <c r="X60" s="71"/>
      <c r="Y60" s="71"/>
      <c r="Z60" s="71"/>
      <c r="AA60" s="72"/>
      <c r="AB60" s="71"/>
      <c r="AC60" s="71"/>
      <c r="AD60" s="71"/>
      <c r="AE60" s="71"/>
      <c r="AF60" s="72"/>
      <c r="AG60" s="71"/>
      <c r="AH60" s="71"/>
      <c r="AI60" s="71"/>
      <c r="AJ60" s="71"/>
      <c r="AK60" s="72"/>
      <c r="AL60" s="71"/>
      <c r="AM60" s="71"/>
      <c r="AN60" s="71"/>
      <c r="AO60" s="71"/>
      <c r="AP60" s="72"/>
      <c r="AQ60" s="71"/>
      <c r="AR60" s="71"/>
      <c r="AS60" s="71"/>
      <c r="AT60" s="71"/>
      <c r="AU60" s="72"/>
      <c r="AV60" s="71"/>
      <c r="AW60" s="71"/>
      <c r="AX60" s="71"/>
      <c r="AY60" s="71"/>
      <c r="AZ60" s="72"/>
      <c r="BA60" s="71"/>
      <c r="BB60" s="71"/>
      <c r="BC60" s="71"/>
      <c r="BD60" s="71"/>
      <c r="BE60" s="72"/>
      <c r="BF60" s="71"/>
      <c r="BG60" s="71"/>
      <c r="BH60" s="71"/>
      <c r="BI60" s="71"/>
      <c r="BJ60" s="72"/>
      <c r="BK60" s="71"/>
      <c r="BL60" s="71"/>
      <c r="BM60" s="71"/>
      <c r="BN60" s="71"/>
      <c r="BO60" s="72"/>
      <c r="BP60" s="71"/>
      <c r="BQ60" s="71"/>
      <c r="BR60" s="71"/>
      <c r="BS60" s="71"/>
      <c r="BT60" s="72"/>
      <c r="BU60" s="71"/>
      <c r="BV60" s="71"/>
      <c r="BW60" s="71"/>
      <c r="BX60" s="71"/>
      <c r="BY60" s="72"/>
      <c r="BZ60" s="71"/>
      <c r="CA60" s="71"/>
      <c r="CB60" s="71"/>
      <c r="CC60" s="71"/>
      <c r="CD60" s="72"/>
      <c r="CE60" s="71"/>
      <c r="CF60" s="71"/>
      <c r="CG60" s="71"/>
      <c r="CH60" s="71"/>
      <c r="CI60" s="71"/>
      <c r="CJ60" s="71"/>
      <c r="CK60" s="71"/>
      <c r="CL60" s="71"/>
      <c r="CM60" s="71"/>
      <c r="CN60" s="72"/>
    </row>
    <row r="61" ht="15" customHeight="1" spans="2:92">
      <c r="B61" s="60" t="s">
        <v>447</v>
      </c>
      <c r="C61" s="782" t="s">
        <v>208</v>
      </c>
      <c r="D61" s="782" t="s">
        <v>208</v>
      </c>
      <c r="E61" s="782" t="s">
        <v>208</v>
      </c>
      <c r="F61" s="782" t="s">
        <v>208</v>
      </c>
      <c r="G61" s="37">
        <f>'3. Earnings Build'!AL50</f>
        <v>169</v>
      </c>
      <c r="H61" s="36">
        <f>'3. Earnings Build'!AM50</f>
        <v>173</v>
      </c>
      <c r="I61" s="36">
        <f>'3. Earnings Build'!AN50</f>
        <v>182</v>
      </c>
      <c r="J61" s="36">
        <f>'3. Earnings Build'!AO50</f>
        <v>194</v>
      </c>
      <c r="K61" s="36">
        <f>'3. Earnings Build'!AP50</f>
        <v>203</v>
      </c>
      <c r="L61" s="37">
        <f>'3. Earnings Build'!AQ50</f>
        <v>203</v>
      </c>
      <c r="M61" s="36">
        <f>'3. Earnings Build'!AR50</f>
        <v>210</v>
      </c>
      <c r="N61" s="36">
        <f>'3. Earnings Build'!AS50</f>
        <v>217</v>
      </c>
      <c r="O61" s="36">
        <f>'3. Earnings Build'!AT50</f>
        <v>236</v>
      </c>
      <c r="P61" s="36">
        <f>'3. Earnings Build'!AU50</f>
        <v>242</v>
      </c>
      <c r="Q61" s="37">
        <f>'3. Earnings Build'!AV50</f>
        <v>242</v>
      </c>
      <c r="R61" s="36">
        <f>'3. Earnings Build'!AW50</f>
        <v>247</v>
      </c>
      <c r="S61" s="36">
        <f>'3. Earnings Build'!AX50</f>
        <v>252</v>
      </c>
      <c r="T61" s="36">
        <f>'3. Earnings Build'!AY50</f>
        <v>268</v>
      </c>
      <c r="U61" s="36">
        <f>'3. Earnings Build'!AZ50</f>
        <v>280</v>
      </c>
      <c r="V61" s="37">
        <f>'3. Earnings Build'!BA50</f>
        <v>280</v>
      </c>
      <c r="W61" s="36">
        <f>'3. Earnings Build'!BB50</f>
        <v>287</v>
      </c>
      <c r="X61" s="36">
        <f>'3. Earnings Build'!BC50</f>
        <v>301</v>
      </c>
      <c r="Y61" s="36">
        <f>'3. Earnings Build'!BD50</f>
        <v>313</v>
      </c>
      <c r="Z61" s="36">
        <f>'3. Earnings Build'!BE50</f>
        <v>320</v>
      </c>
      <c r="AA61" s="37">
        <f>'3. Earnings Build'!BF50</f>
        <v>320</v>
      </c>
      <c r="AB61" s="36">
        <f>'3. Earnings Build'!BG50</f>
        <v>324</v>
      </c>
      <c r="AC61" s="36">
        <f>'3. Earnings Build'!BH50</f>
        <v>327</v>
      </c>
      <c r="AD61" s="36">
        <f>'3. Earnings Build'!BI50</f>
        <v>335</v>
      </c>
      <c r="AE61" s="36">
        <f>'3. Earnings Build'!BJ50</f>
        <v>351</v>
      </c>
      <c r="AF61" s="37">
        <f>'3. Earnings Build'!BK50</f>
        <v>351</v>
      </c>
      <c r="AG61" s="36">
        <f>'3. Earnings Build'!BL50</f>
        <v>356</v>
      </c>
      <c r="AH61" s="36">
        <f>'3. Earnings Build'!BM50</f>
        <v>366</v>
      </c>
      <c r="AI61" s="36">
        <f>'3. Earnings Build'!BN50</f>
        <v>381</v>
      </c>
      <c r="AJ61" s="36">
        <f>'3. Earnings Build'!BO50</f>
        <v>397</v>
      </c>
      <c r="AK61" s="37">
        <f>'3. Earnings Build'!BP50</f>
        <v>397</v>
      </c>
      <c r="AL61" s="36">
        <f>'3. Earnings Build'!BQ50</f>
        <v>404</v>
      </c>
      <c r="AM61" s="36">
        <f>'3. Earnings Build'!BR50</f>
        <v>408</v>
      </c>
      <c r="AN61" s="36">
        <f>'3. Earnings Build'!BS50</f>
        <v>419</v>
      </c>
      <c r="AO61" s="36">
        <f>'3. Earnings Build'!BT50</f>
        <v>433</v>
      </c>
      <c r="AP61" s="37">
        <f>'3. Earnings Build'!BU50</f>
        <v>433</v>
      </c>
      <c r="AQ61" s="36">
        <f>'3. Earnings Build'!BV50</f>
        <v>448</v>
      </c>
      <c r="AR61" s="36">
        <f>'3. Earnings Build'!BW50</f>
        <v>453</v>
      </c>
      <c r="AS61" s="36">
        <f>'3. Earnings Build'!BX50</f>
        <v>473</v>
      </c>
      <c r="AT61" s="36">
        <f>'3. Earnings Build'!BY50</f>
        <v>487</v>
      </c>
      <c r="AU61" s="37">
        <f>'3. Earnings Build'!BZ50</f>
        <v>487</v>
      </c>
      <c r="AV61" s="36">
        <f>'3. Earnings Build'!CA50</f>
        <v>489</v>
      </c>
      <c r="AW61" s="36">
        <f>'3. Earnings Build'!CB50</f>
        <v>506</v>
      </c>
      <c r="AX61" s="36">
        <f>'3. Earnings Build'!CC50</f>
        <v>515</v>
      </c>
      <c r="AY61" s="36">
        <f>'3. Earnings Build'!CD50</f>
        <v>521</v>
      </c>
      <c r="AZ61" s="37">
        <f>'3. Earnings Build'!CE50</f>
        <v>521</v>
      </c>
      <c r="BA61" s="36">
        <f>'3. Earnings Build'!CF50</f>
        <v>523</v>
      </c>
      <c r="BB61" s="36">
        <f>'3. Earnings Build'!CG50</f>
        <v>534</v>
      </c>
      <c r="BC61" s="36">
        <f>'3. Earnings Build'!CH50</f>
        <v>552</v>
      </c>
      <c r="BD61" s="36">
        <f>'3. Earnings Build'!CI50</f>
        <v>574</v>
      </c>
      <c r="BE61" s="37">
        <f>'3. Earnings Build'!CJ50</f>
        <v>574</v>
      </c>
      <c r="BF61" s="36">
        <f>'3. Earnings Build'!CK50</f>
        <v>579</v>
      </c>
      <c r="BG61" s="36">
        <f>'3. Earnings Build'!CL50</f>
        <v>600</v>
      </c>
      <c r="BH61" s="36">
        <f>'3. Earnings Build'!CM50</f>
        <v>623</v>
      </c>
      <c r="BI61" s="36">
        <f>'3. Earnings Build'!CN50</f>
        <v>655</v>
      </c>
      <c r="BJ61" s="37">
        <f>'3. Earnings Build'!CO50</f>
        <v>655</v>
      </c>
      <c r="BK61" s="36">
        <f>'3. Earnings Build'!CP50</f>
        <v>662</v>
      </c>
      <c r="BL61" s="36">
        <f>'3. Earnings Build'!CQ50</f>
        <v>672</v>
      </c>
      <c r="BM61" s="36">
        <f>'3. Earnings Build'!CR50</f>
        <v>686</v>
      </c>
      <c r="BN61" s="36">
        <f>'3. Earnings Build'!CS50</f>
        <v>711</v>
      </c>
      <c r="BO61" s="37">
        <f>'3. Earnings Build'!CT50</f>
        <v>711</v>
      </c>
      <c r="BP61" s="36">
        <f>'3. Earnings Build'!CU50</f>
        <v>711</v>
      </c>
      <c r="BQ61" s="36">
        <f>'3. Earnings Build'!CV50</f>
        <v>721</v>
      </c>
      <c r="BR61" s="36">
        <f>'3. Earnings Build'!CW50</f>
        <v>749</v>
      </c>
      <c r="BS61" s="36">
        <f>'3. Earnings Build'!CX50</f>
        <v>767</v>
      </c>
      <c r="BT61" s="37">
        <f>'3. Earnings Build'!CY50</f>
        <v>767</v>
      </c>
      <c r="BU61" s="36">
        <f>'3. Earnings Build'!CZ50</f>
        <v>770</v>
      </c>
      <c r="BV61" s="36">
        <f>'3. Earnings Build'!DA50</f>
        <v>784</v>
      </c>
      <c r="BW61" s="36">
        <f>'3. Earnings Build'!DB50</f>
        <v>796</v>
      </c>
      <c r="BX61" s="36">
        <f>'3. Earnings Build'!DC50</f>
        <v>811</v>
      </c>
      <c r="BY61" s="37">
        <f>'3. Earnings Build'!DD50</f>
        <v>811</v>
      </c>
      <c r="BZ61" s="36">
        <f>'3. Earnings Build'!DE50</f>
        <v>816</v>
      </c>
      <c r="CA61" s="36">
        <f>'3. Earnings Build'!DF50</f>
        <v>825</v>
      </c>
      <c r="CB61" s="36">
        <f>'3. Earnings Build'!DG50</f>
        <v>835</v>
      </c>
      <c r="CC61" s="36">
        <f>'3. Earnings Build'!DH50</f>
        <v>846</v>
      </c>
      <c r="CD61" s="37">
        <f>'3. Earnings Build'!DI50</f>
        <v>846</v>
      </c>
      <c r="CE61" s="36">
        <f>'3. Earnings Build'!DJ50</f>
        <v>847</v>
      </c>
      <c r="CF61" s="36">
        <f>'3. Earnings Build'!DK50</f>
        <v>856</v>
      </c>
      <c r="CG61" s="36">
        <f>'3. Earnings Build'!DL50</f>
        <v>865</v>
      </c>
      <c r="CH61" s="36">
        <f>'3. Earnings Build'!DM50</f>
        <v>877</v>
      </c>
      <c r="CI61" s="37">
        <f>'3. Earnings Build'!DN50</f>
        <v>877</v>
      </c>
      <c r="CJ61" s="36">
        <f>'3. Earnings Build'!DO50</f>
        <v>878</v>
      </c>
      <c r="CK61" s="36">
        <f>'3. Earnings Build'!DP50</f>
        <v>887</v>
      </c>
      <c r="CL61" s="36">
        <f>'3. Earnings Build'!DQ50</f>
        <v>896</v>
      </c>
      <c r="CM61" s="36">
        <f>'3. Earnings Build'!DR50</f>
        <v>908</v>
      </c>
      <c r="CN61" s="37">
        <f>'3. Earnings Build'!DS50</f>
        <v>908</v>
      </c>
    </row>
    <row r="62" ht="15" customHeight="1" spans="2:92">
      <c r="B62" s="60" t="s">
        <v>111</v>
      </c>
      <c r="C62" s="36">
        <f>'2. Consolidated'!AH103</f>
        <v>5.655</v>
      </c>
      <c r="D62" s="36">
        <f>'2. Consolidated'!AI103</f>
        <v>13.874</v>
      </c>
      <c r="E62" s="36">
        <f>'2. Consolidated'!AJ103</f>
        <v>33.99</v>
      </c>
      <c r="F62" s="36">
        <f>'2. Consolidated'!AK103</f>
        <v>150.096</v>
      </c>
      <c r="G62" s="37">
        <f>'2. Consolidated'!AL103</f>
        <v>203.615</v>
      </c>
      <c r="H62" s="36">
        <f>'2. Consolidated'!AM103</f>
        <v>15.952</v>
      </c>
      <c r="I62" s="36">
        <f>'2. Consolidated'!AN103</f>
        <v>47.568</v>
      </c>
      <c r="J62" s="36">
        <f>'2. Consolidated'!AO103</f>
        <v>49.7200000000001</v>
      </c>
      <c r="K62" s="36">
        <f>'2. Consolidated'!AP103</f>
        <v>166.873</v>
      </c>
      <c r="L62" s="37">
        <f>'2. Consolidated'!AQ103</f>
        <v>280.113</v>
      </c>
      <c r="M62" s="36">
        <f>'2. Consolidated'!AR103</f>
        <v>25.1350000000001</v>
      </c>
      <c r="N62" s="36">
        <f>'2. Consolidated'!AS103</f>
        <v>45.797</v>
      </c>
      <c r="O62" s="36">
        <f>'2. Consolidated'!AT103</f>
        <v>23.874</v>
      </c>
      <c r="P62" s="36">
        <f>'2. Consolidated'!AU103</f>
        <v>183.533</v>
      </c>
      <c r="Q62" s="37">
        <f>'2. Consolidated'!AV103</f>
        <v>278.339</v>
      </c>
      <c r="R62" s="36">
        <f>'2. Consolidated'!AW103</f>
        <v>70.969</v>
      </c>
      <c r="S62" s="36">
        <f>'2. Consolidated'!AX103</f>
        <v>52.996</v>
      </c>
      <c r="T62" s="36">
        <f>'2. Consolidated'!AY103</f>
        <v>42.828</v>
      </c>
      <c r="U62" s="36">
        <f>'2. Consolidated'!AZ103</f>
        <v>147.675</v>
      </c>
      <c r="V62" s="37">
        <f>'2. Consolidated'!BA103</f>
        <v>314.449</v>
      </c>
      <c r="W62" s="36">
        <f>'2. Consolidated'!BB103</f>
        <v>20.94</v>
      </c>
      <c r="X62" s="36">
        <f>'2. Consolidated'!BC103</f>
        <v>11.221</v>
      </c>
      <c r="Y62" s="36">
        <f>'2. Consolidated'!BD103</f>
        <v>-6.22800000000001</v>
      </c>
      <c r="Z62" s="36">
        <f>'2. Consolidated'!BE103</f>
        <v>272.8</v>
      </c>
      <c r="AA62" s="37">
        <f>'2. Consolidated'!BF103</f>
        <v>298.74</v>
      </c>
      <c r="AB62" s="36">
        <f>'2. Consolidated'!BG103</f>
        <v>39.734</v>
      </c>
      <c r="AC62" s="36">
        <f>'2. Consolidated'!BH103</f>
        <v>60.254</v>
      </c>
      <c r="AD62" s="36">
        <f>'2. Consolidated'!BI103</f>
        <v>-2.65699999999995</v>
      </c>
      <c r="AE62" s="36">
        <f>'2. Consolidated'!BJ103</f>
        <v>287.795583385339</v>
      </c>
      <c r="AF62" s="37">
        <f>'2. Consolidated'!BK103</f>
        <v>385.119</v>
      </c>
      <c r="AG62" s="36">
        <f>'2. Consolidated'!BL103</f>
        <v>19.4</v>
      </c>
      <c r="AH62" s="36">
        <f>'2. Consolidated'!BM103</f>
        <v>82.6380000000001</v>
      </c>
      <c r="AI62" s="36">
        <f>'2. Consolidated'!BN103</f>
        <v>29.2870000000001</v>
      </c>
      <c r="AJ62" s="36">
        <f>'2. Consolidated'!BO103</f>
        <v>358.028</v>
      </c>
      <c r="AK62" s="37">
        <f>'2. Consolidated'!BP103</f>
        <v>489.336</v>
      </c>
      <c r="AL62" s="36">
        <f>'2. Consolidated'!BQ103</f>
        <v>35.837</v>
      </c>
      <c r="AM62" s="36">
        <f>'2. Consolidated'!BR103</f>
        <v>174.189</v>
      </c>
      <c r="AN62" s="36">
        <f>'2. Consolidated'!BS103</f>
        <v>106.85</v>
      </c>
      <c r="AO62" s="36">
        <f>'2. Consolidated'!BT103</f>
        <v>425.903</v>
      </c>
      <c r="AP62" s="37">
        <f>'2. Consolidated'!BU103</f>
        <v>742.779</v>
      </c>
      <c r="AQ62" s="36">
        <f>'2. Consolidated'!BV103</f>
        <v>-62.803</v>
      </c>
      <c r="AR62" s="36">
        <f>'2. Consolidated'!BW103</f>
        <v>112.845</v>
      </c>
      <c r="AS62" s="36">
        <f>'2. Consolidated'!BX103</f>
        <v>45.064</v>
      </c>
      <c r="AT62" s="36">
        <f>'2. Consolidated'!BY103</f>
        <v>574.21</v>
      </c>
      <c r="AU62" s="37">
        <f>'2. Consolidated'!BZ103</f>
        <v>669.316</v>
      </c>
      <c r="AV62" s="36">
        <f>'2. Consolidated'!CA103</f>
        <v>-121.243</v>
      </c>
      <c r="AW62" s="36">
        <f>'2. Consolidated'!CB103</f>
        <v>181.305</v>
      </c>
      <c r="AX62" s="36">
        <f>'2. Consolidated'!CC103</f>
        <v>25.3419999999999</v>
      </c>
      <c r="AY62" s="36">
        <f>'2. Consolidated'!CD103</f>
        <v>717.932</v>
      </c>
      <c r="AZ62" s="37">
        <f>'2. Consolidated'!CE103</f>
        <v>803.336</v>
      </c>
      <c r="BA62" s="36">
        <f>'2. Consolidated'!CF103</f>
        <v>214.109</v>
      </c>
      <c r="BB62" s="36">
        <f>'2. Consolidated'!CG103</f>
        <v>285.663</v>
      </c>
      <c r="BC62" s="36">
        <f>'2. Consolidated'!CH103</f>
        <v>158.352</v>
      </c>
      <c r="BD62" s="36">
        <f>'2. Consolidated'!CI103</f>
        <v>730.984</v>
      </c>
      <c r="BE62" s="37">
        <f>'2. Consolidated'!CJ103</f>
        <v>1389.108</v>
      </c>
      <c r="BF62" s="36">
        <f>'2. Consolidated'!CK103</f>
        <v>-243.256</v>
      </c>
      <c r="BG62" s="36">
        <f>'2. Consolidated'!CL103</f>
        <v>97.6380000000001</v>
      </c>
      <c r="BH62" s="36">
        <f>'2. Consolidated'!CM103</f>
        <v>65.8169999999998</v>
      </c>
      <c r="BI62" s="36">
        <f>'2. Consolidated'!CN103</f>
        <v>1046.264</v>
      </c>
      <c r="BJ62" s="37">
        <f>'2. Consolidated'!CO103</f>
        <v>966.463</v>
      </c>
      <c r="BK62" s="36">
        <f>'2. Consolidated'!CP103</f>
        <v>45.5029999999997</v>
      </c>
      <c r="BL62" s="36">
        <f>'2. Consolidated'!CQ103</f>
        <v>476.71</v>
      </c>
      <c r="BM62" s="36">
        <f>'2. Consolidated'!CR103</f>
        <v>389.853</v>
      </c>
      <c r="BN62" s="36">
        <f>'2. Consolidated'!CS103</f>
        <v>1384.098</v>
      </c>
      <c r="BO62" s="37">
        <f>'2. Consolidated'!CT103</f>
        <v>2296.164</v>
      </c>
      <c r="BP62" s="36">
        <f>'2. Consolidated'!CU103</f>
        <v>127.524</v>
      </c>
      <c r="BQ62" s="36">
        <f>'2. Consolidated'!CV103</f>
        <v>443.14</v>
      </c>
      <c r="BR62" s="36">
        <f>'2. Consolidated'!CW103</f>
        <v>300.659</v>
      </c>
      <c r="BS62" s="36">
        <f>'2. Consolidated'!CX103</f>
        <v>1401.39</v>
      </c>
      <c r="BT62" s="37">
        <f>'2. Consolidated'!CY103</f>
        <v>2272.713</v>
      </c>
      <c r="BU62" s="36">
        <f>'2. Consolidated'!CZ103</f>
        <v>-118.954</v>
      </c>
      <c r="BV62" s="36">
        <f>'2. Consolidated'!DA103</f>
        <v>328.676</v>
      </c>
      <c r="BW62" s="36">
        <f>'2. Consolidated'!DB103</f>
        <v>249.884</v>
      </c>
      <c r="BX62" s="36">
        <f>'2. Consolidated'!DC103</f>
        <v>1142.871</v>
      </c>
      <c r="BY62" s="37">
        <f>'2. Consolidated'!DD103</f>
        <v>1602.477</v>
      </c>
      <c r="BZ62" s="36">
        <f>'2. Consolidated'!DE103</f>
        <v>214.44</v>
      </c>
      <c r="CA62" s="36">
        <f>'2. Consolidated'!DF103</f>
        <v>374.838</v>
      </c>
      <c r="CB62" s="36">
        <f>'2. Consolidated'!DG103</f>
        <v>-145.90099050483</v>
      </c>
      <c r="CC62" s="36">
        <f>'2. Consolidated'!DH103</f>
        <v>940.258857556066</v>
      </c>
      <c r="CD62" s="37">
        <f>'2. Consolidated'!DI103</f>
        <v>1383.63586705124</v>
      </c>
      <c r="CE62" s="36">
        <f>'2. Consolidated'!DJ103</f>
        <v>418.738749034159</v>
      </c>
      <c r="CF62" s="36">
        <f>'2. Consolidated'!DK103</f>
        <v>327.775230529143</v>
      </c>
      <c r="CG62" s="36">
        <f>'2. Consolidated'!DL103</f>
        <v>-130.786639430646</v>
      </c>
      <c r="CH62" s="36">
        <f>'2. Consolidated'!DM103</f>
        <v>978.145673058786</v>
      </c>
      <c r="CI62" s="37">
        <f>'2. Consolidated'!DN103</f>
        <v>1593.87301319144</v>
      </c>
      <c r="CJ62" s="36">
        <f>'2. Consolidated'!DO103</f>
        <v>419.72258268711</v>
      </c>
      <c r="CK62" s="36">
        <f>'2. Consolidated'!DP103</f>
        <v>374.315753139628</v>
      </c>
      <c r="CL62" s="36">
        <f>'2. Consolidated'!DQ103</f>
        <v>-115.222410408383</v>
      </c>
      <c r="CM62" s="36">
        <f>'2. Consolidated'!DR103</f>
        <v>996.294595379841</v>
      </c>
      <c r="CN62" s="37">
        <f>'2. Consolidated'!DS103</f>
        <v>1675.1105207982</v>
      </c>
    </row>
    <row r="63" ht="15" customHeight="1" spans="2:92">
      <c r="B63" s="74" t="s">
        <v>112</v>
      </c>
      <c r="C63" s="36">
        <f>'2. Consolidated'!AH105</f>
        <v>-74.831</v>
      </c>
      <c r="D63" s="36">
        <f>'2. Consolidated'!AI105</f>
        <v>-12.493</v>
      </c>
      <c r="E63" s="36">
        <f>'2. Consolidated'!AJ105</f>
        <v>-13.366</v>
      </c>
      <c r="F63" s="36">
        <f>'2. Consolidated'!AK105</f>
        <v>-15.967</v>
      </c>
      <c r="G63" s="37">
        <f>'2. Consolidated'!AL105</f>
        <v>-116.657</v>
      </c>
      <c r="H63" s="36">
        <f>'2. Consolidated'!AM105</f>
        <v>-12.696</v>
      </c>
      <c r="I63" s="36">
        <f>'2. Consolidated'!AN105</f>
        <v>-26.35</v>
      </c>
      <c r="J63" s="36">
        <f>'2. Consolidated'!AO105</f>
        <v>-32.995</v>
      </c>
      <c r="K63" s="36">
        <f>'2. Consolidated'!AP105</f>
        <v>-21.188</v>
      </c>
      <c r="L63" s="37">
        <f>'2. Consolidated'!AQ105</f>
        <v>-93.229</v>
      </c>
      <c r="M63" s="36">
        <f>'2. Consolidated'!AR105</f>
        <v>-20.976</v>
      </c>
      <c r="N63" s="36">
        <f>'2. Consolidated'!AS105</f>
        <v>-23.038</v>
      </c>
      <c r="O63" s="36">
        <f>'2. Consolidated'!AT105</f>
        <v>-27.931</v>
      </c>
      <c r="P63" s="36">
        <f>'2. Consolidated'!AU105</f>
        <v>-34.463</v>
      </c>
      <c r="Q63" s="37">
        <f>'2. Consolidated'!AV105</f>
        <v>-106.408</v>
      </c>
      <c r="R63" s="36">
        <f>'2. Consolidated'!AW105</f>
        <v>-25.447</v>
      </c>
      <c r="S63" s="36">
        <f>'2. Consolidated'!AX105</f>
        <v>-26.655</v>
      </c>
      <c r="T63" s="36">
        <f>'2. Consolidated'!AY105</f>
        <v>-37.271</v>
      </c>
      <c r="U63" s="36">
        <f>'2. Consolidated'!AZ105</f>
        <v>-30.36</v>
      </c>
      <c r="V63" s="37">
        <f>'2. Consolidated'!BA105</f>
        <v>-119.733</v>
      </c>
      <c r="W63" s="36">
        <f>'2. Consolidated'!BB105</f>
        <v>-27.936</v>
      </c>
      <c r="X63" s="36">
        <f>'2. Consolidated'!BC105</f>
        <v>-37.182</v>
      </c>
      <c r="Y63" s="36">
        <f>'2. Consolidated'!BD105</f>
        <v>-42.943</v>
      </c>
      <c r="Z63" s="36">
        <f>'2. Consolidated'!BE105</f>
        <v>-35.426</v>
      </c>
      <c r="AA63" s="37">
        <f>'2. Consolidated'!BF105</f>
        <v>-143.487</v>
      </c>
      <c r="AB63" s="36">
        <f>'2. Consolidated'!BG105</f>
        <v>-26.644</v>
      </c>
      <c r="AC63" s="36">
        <f>'2. Consolidated'!BH105</f>
        <v>-44.617</v>
      </c>
      <c r="AD63" s="36">
        <f>'2. Consolidated'!BI105</f>
        <v>-34.907</v>
      </c>
      <c r="AE63" s="36">
        <f>'2. Consolidated'!BJ105</f>
        <v>-43.343</v>
      </c>
      <c r="AF63" s="37">
        <f>'2. Consolidated'!BK105</f>
        <v>-149.511</v>
      </c>
      <c r="AG63" s="36">
        <f>'2. Consolidated'!BL105</f>
        <v>-19.879</v>
      </c>
      <c r="AH63" s="36">
        <f>'2. Consolidated'!BM105</f>
        <v>-30.01</v>
      </c>
      <c r="AI63" s="36">
        <f>'2. Consolidated'!BN105</f>
        <v>-57.239</v>
      </c>
      <c r="AJ63" s="36">
        <f>'2. Consolidated'!BO105</f>
        <v>-50.736</v>
      </c>
      <c r="AK63" s="37">
        <f>'2. Consolidated'!BP105</f>
        <v>-157.864</v>
      </c>
      <c r="AL63" s="36">
        <f>'2. Consolidated'!BQ105</f>
        <v>-34.314</v>
      </c>
      <c r="AM63" s="36">
        <f>'2. Consolidated'!BR105</f>
        <v>-49.693</v>
      </c>
      <c r="AN63" s="36">
        <f>'2. Consolidated'!BS105</f>
        <v>-72.739</v>
      </c>
      <c r="AO63" s="36">
        <f>'2. Consolidated'!BT105</f>
        <v>-69.061</v>
      </c>
      <c r="AP63" s="37">
        <f>'2. Consolidated'!BU105</f>
        <v>-225.807</v>
      </c>
      <c r="AQ63" s="36">
        <f>'2. Consolidated'!BV105</f>
        <v>-68.434</v>
      </c>
      <c r="AR63" s="36">
        <f>'2. Consolidated'!BW105</f>
        <v>-67.33</v>
      </c>
      <c r="AS63" s="36">
        <f>'2. Consolidated'!BX105</f>
        <v>-78.453</v>
      </c>
      <c r="AT63" s="36">
        <f>'2. Consolidated'!BY105</f>
        <v>-68.831</v>
      </c>
      <c r="AU63" s="37">
        <f>'2. Consolidated'!BZ105</f>
        <v>-283.048</v>
      </c>
      <c r="AV63" s="36">
        <f>'2. Consolidated'!CA105</f>
        <v>-52.101</v>
      </c>
      <c r="AW63" s="36">
        <f>'2. Consolidated'!CB105</f>
        <v>-52.622</v>
      </c>
      <c r="AX63" s="36">
        <f>'2. Consolidated'!CC105</f>
        <v>-66.107</v>
      </c>
      <c r="AY63" s="36">
        <f>'2. Consolidated'!CD105</f>
        <v>-58.396</v>
      </c>
      <c r="AZ63" s="37">
        <f>'2. Consolidated'!CE105</f>
        <v>-229.226</v>
      </c>
      <c r="BA63" s="36">
        <f>'2. Consolidated'!CF105</f>
        <v>-64.225</v>
      </c>
      <c r="BB63" s="36">
        <f>'2. Consolidated'!CG105</f>
        <v>-80.269</v>
      </c>
      <c r="BC63" s="36">
        <f>'2. Consolidated'!CH105</f>
        <v>-122.497</v>
      </c>
      <c r="BD63" s="36">
        <f>'2. Consolidated'!CI105</f>
        <v>-127.511</v>
      </c>
      <c r="BE63" s="37">
        <f>'2. Consolidated'!CJ105</f>
        <v>-394.502</v>
      </c>
      <c r="BF63" s="36">
        <f>'2. Consolidated'!CK105</f>
        <v>-111.352</v>
      </c>
      <c r="BG63" s="36">
        <f>'2. Consolidated'!CL105</f>
        <v>-144.718</v>
      </c>
      <c r="BH63" s="36">
        <f>'2. Consolidated'!CM105</f>
        <v>-175.607</v>
      </c>
      <c r="BI63" s="36">
        <f>'2. Consolidated'!CN105</f>
        <v>-206.98</v>
      </c>
      <c r="BJ63" s="37">
        <f>'2. Consolidated'!CO105</f>
        <v>-638.657</v>
      </c>
      <c r="BK63" s="36">
        <f>'2. Consolidated'!CP105</f>
        <v>-136.942</v>
      </c>
      <c r="BL63" s="36">
        <f>'2. Consolidated'!CQ105</f>
        <v>-145.511</v>
      </c>
      <c r="BM63" s="36">
        <f>'2. Consolidated'!CR105</f>
        <v>-162.9</v>
      </c>
      <c r="BN63" s="36">
        <f>'2. Consolidated'!CS105</f>
        <v>-206.512</v>
      </c>
      <c r="BO63" s="37">
        <f>'2. Consolidated'!CT105</f>
        <v>-651.865</v>
      </c>
      <c r="BP63" s="36">
        <f>'2. Consolidated'!CU105</f>
        <v>-130.681</v>
      </c>
      <c r="BQ63" s="36">
        <f>'2. Consolidated'!CV105</f>
        <v>-145.086</v>
      </c>
      <c r="BR63" s="36">
        <f>'2. Consolidated'!CW105</f>
        <v>-178.483</v>
      </c>
      <c r="BS63" s="36">
        <f>'2. Consolidated'!CX105</f>
        <v>-234.982</v>
      </c>
      <c r="BT63" s="37">
        <f>'2. Consolidated'!CY105</f>
        <v>-689.232</v>
      </c>
      <c r="BU63" s="36">
        <f>'2. Consolidated'!CZ105</f>
        <v>-152.263</v>
      </c>
      <c r="BV63" s="36">
        <f>'2. Consolidated'!DA105</f>
        <v>-177.898</v>
      </c>
      <c r="BW63" s="36">
        <f>'2. Consolidated'!DB105</f>
        <v>-167.441</v>
      </c>
      <c r="BX63" s="36">
        <f>'2. Consolidated'!DC105</f>
        <v>-183.2</v>
      </c>
      <c r="BY63" s="37">
        <f>'2. Consolidated'!DD105</f>
        <v>-680.802</v>
      </c>
      <c r="BZ63" s="36">
        <f>'2. Consolidated'!DE105</f>
        <v>-127.38</v>
      </c>
      <c r="CA63" s="36">
        <f>'2. Consolidated'!DF105</f>
        <v>-149.676</v>
      </c>
      <c r="CB63" s="36">
        <f>'2. Consolidated'!DG105</f>
        <v>-197.58038</v>
      </c>
      <c r="CC63" s="36">
        <f>'2. Consolidated'!DH105</f>
        <v>-216.176</v>
      </c>
      <c r="CD63" s="37">
        <f>'2. Consolidated'!DI105</f>
        <v>-690.81238</v>
      </c>
      <c r="CE63" s="36">
        <f>'2. Consolidated'!DJ105</f>
        <v>-142.6656</v>
      </c>
      <c r="CF63" s="36">
        <f>'2. Consolidated'!DK105</f>
        <v>-167.63712</v>
      </c>
      <c r="CG63" s="36">
        <f>'2. Consolidated'!DL105</f>
        <v>-221.2900256</v>
      </c>
      <c r="CH63" s="36">
        <f>'2. Consolidated'!DM105</f>
        <v>-242.11712</v>
      </c>
      <c r="CI63" s="37">
        <f>'2. Consolidated'!DN105</f>
        <v>-773.7098656</v>
      </c>
      <c r="CJ63" s="36">
        <f>'2. Consolidated'!DO105</f>
        <v>-159.785472</v>
      </c>
      <c r="CK63" s="36">
        <f>'2. Consolidated'!DP105</f>
        <v>-187.7535744</v>
      </c>
      <c r="CL63" s="36">
        <f>'2. Consolidated'!DQ105</f>
        <v>-247.844828672</v>
      </c>
      <c r="CM63" s="36">
        <f>'2. Consolidated'!DR105</f>
        <v>-271.1711744</v>
      </c>
      <c r="CN63" s="37">
        <f>'2. Consolidated'!DS105</f>
        <v>-866.555049472</v>
      </c>
    </row>
    <row r="64" ht="15" customHeight="1" spans="2:92">
      <c r="B64" s="74" t="s">
        <v>274</v>
      </c>
      <c r="C64" s="782" t="s">
        <v>208</v>
      </c>
      <c r="D64" s="782" t="s">
        <v>208</v>
      </c>
      <c r="E64" s="782" t="s">
        <v>208</v>
      </c>
      <c r="F64" s="782" t="s">
        <v>208</v>
      </c>
      <c r="G64" s="37">
        <f>'2. Consolidated'!AL112</f>
        <v>0</v>
      </c>
      <c r="H64" s="36">
        <f>'2. Consolidated'!AM112</f>
        <v>0</v>
      </c>
      <c r="I64" s="36">
        <f>'2. Consolidated'!AN112</f>
        <v>0</v>
      </c>
      <c r="J64" s="36">
        <f>'2. Consolidated'!AO112</f>
        <v>0</v>
      </c>
      <c r="K64" s="36">
        <f>'2. Consolidated'!AP112</f>
        <v>0</v>
      </c>
      <c r="L64" s="37">
        <f>'2. Consolidated'!AQ112</f>
        <v>0</v>
      </c>
      <c r="M64" s="36">
        <f>'2. Consolidated'!AR112</f>
        <v>0</v>
      </c>
      <c r="N64" s="36">
        <f>'2. Consolidated'!AS112</f>
        <v>0</v>
      </c>
      <c r="O64" s="36">
        <f>'2. Consolidated'!AT112</f>
        <v>0</v>
      </c>
      <c r="P64" s="36">
        <f>'2. Consolidated'!AU112</f>
        <v>0</v>
      </c>
      <c r="Q64" s="37">
        <f>'2. Consolidated'!AV112</f>
        <v>0</v>
      </c>
      <c r="R64" s="36">
        <f>'2. Consolidated'!AW112</f>
        <v>0</v>
      </c>
      <c r="S64" s="36">
        <f>'2. Consolidated'!AX112</f>
        <v>-55.804</v>
      </c>
      <c r="T64" s="36">
        <f>'2. Consolidated'!AY112</f>
        <v>-74.462</v>
      </c>
      <c r="U64" s="36">
        <f>'2. Consolidated'!AZ112</f>
        <v>-17.165</v>
      </c>
      <c r="V64" s="37">
        <f>'2. Consolidated'!BA112</f>
        <v>-147.431</v>
      </c>
      <c r="W64" s="36">
        <f>'2. Consolidated'!BB112</f>
        <v>-18.815</v>
      </c>
      <c r="X64" s="36">
        <f>'2. Consolidated'!BC112</f>
        <v>-63.183</v>
      </c>
      <c r="Y64" s="36">
        <f>'2. Consolidated'!BD112</f>
        <v>-87.976</v>
      </c>
      <c r="Z64" s="36">
        <f>'2. Consolidated'!BE112</f>
        <v>-104.219</v>
      </c>
      <c r="AA64" s="37">
        <f>'2. Consolidated'!BF112</f>
        <v>-274.193</v>
      </c>
      <c r="AB64" s="36">
        <f>'2. Consolidated'!BG112</f>
        <v>-15.765</v>
      </c>
      <c r="AC64" s="36">
        <f>'2. Consolidated'!BH112</f>
        <v>-12.791</v>
      </c>
      <c r="AD64" s="36">
        <f>'2. Consolidated'!BI112</f>
        <v>0</v>
      </c>
      <c r="AE64" s="36">
        <f>'2. Consolidated'!BJ112</f>
        <v>-0.771000000000001</v>
      </c>
      <c r="AF64" s="37">
        <f>'2. Consolidated'!BK112</f>
        <v>-29.327</v>
      </c>
      <c r="AG64" s="36">
        <f>'2. Consolidated'!BL112</f>
        <v>-12.804</v>
      </c>
      <c r="AH64" s="36">
        <f>'2. Consolidated'!BM112</f>
        <v>-77.997</v>
      </c>
      <c r="AI64" s="36">
        <f>'2. Consolidated'!BN112</f>
        <v>-8.468</v>
      </c>
      <c r="AJ64" s="36">
        <f>'2. Consolidated'!BO112</f>
        <v>-0.99199999999999</v>
      </c>
      <c r="AK64" s="37">
        <f>'2. Consolidated'!BP112</f>
        <v>-100.261</v>
      </c>
      <c r="AL64" s="36">
        <f>'2. Consolidated'!BQ112</f>
        <v>-0.008</v>
      </c>
      <c r="AM64" s="36">
        <f>'2. Consolidated'!BR112</f>
        <v>-406.238</v>
      </c>
      <c r="AN64" s="36">
        <f>'2. Consolidated'!BS112</f>
        <v>-8.089</v>
      </c>
      <c r="AO64" s="36">
        <f>'2. Consolidated'!BT112</f>
        <v>-184.005</v>
      </c>
      <c r="AP64" s="37">
        <f>'2. Consolidated'!BU112</f>
        <v>-598.34</v>
      </c>
      <c r="AQ64" s="36">
        <f>'2. Consolidated'!BV112</f>
        <v>-163.53</v>
      </c>
      <c r="AR64" s="36">
        <f>'2. Consolidated'!BW112</f>
        <v>-1.56899999999999</v>
      </c>
      <c r="AS64" s="36">
        <f>'2. Consolidated'!BX112</f>
        <v>-7.99300000000002</v>
      </c>
      <c r="AT64" s="36">
        <f>'2. Consolidated'!BY112</f>
        <v>-0.306999999999988</v>
      </c>
      <c r="AU64" s="37">
        <f>'2. Consolidated'!BZ112</f>
        <v>-173.399</v>
      </c>
      <c r="AV64" s="36">
        <f>'2. Consolidated'!CA112</f>
        <v>-63.663</v>
      </c>
      <c r="AW64" s="36">
        <f>'2. Consolidated'!CB112</f>
        <v>0</v>
      </c>
      <c r="AX64" s="36">
        <f>'2. Consolidated'!CC112</f>
        <v>0</v>
      </c>
      <c r="AY64" s="36">
        <f>'2. Consolidated'!CD112</f>
        <v>0</v>
      </c>
      <c r="AZ64" s="37">
        <f>'2. Consolidated'!CE112</f>
        <v>-63.663</v>
      </c>
      <c r="BA64" s="36">
        <f>'2. Consolidated'!CF112</f>
        <v>-83.831</v>
      </c>
      <c r="BB64" s="36">
        <f>'2. Consolidated'!CG112</f>
        <v>-171.082</v>
      </c>
      <c r="BC64" s="36">
        <f>'2. Consolidated'!CH112</f>
        <v>-236.423</v>
      </c>
      <c r="BD64" s="36">
        <f>'2. Consolidated'!CI112</f>
        <v>-321.266</v>
      </c>
      <c r="BE64" s="37">
        <f>'2. Consolidated'!CJ112</f>
        <v>-812.602</v>
      </c>
      <c r="BF64" s="36">
        <f>'2. Consolidated'!CK112</f>
        <v>-232.644</v>
      </c>
      <c r="BG64" s="36">
        <f>'2. Consolidated'!CL112</f>
        <v>-125.34</v>
      </c>
      <c r="BH64" s="36">
        <f>'2. Consolidated'!CM112</f>
        <v>-16.992</v>
      </c>
      <c r="BI64" s="36">
        <f>'2. Consolidated'!CN112</f>
        <v>-69.025</v>
      </c>
      <c r="BJ64" s="37">
        <f>'2. Consolidated'!CO112</f>
        <v>-444.001</v>
      </c>
      <c r="BK64" s="36">
        <f>'2. Consolidated'!CP112</f>
        <v>-98.479</v>
      </c>
      <c r="BL64" s="36">
        <f>'2. Consolidated'!CQ112</f>
        <v>-193.538</v>
      </c>
      <c r="BM64" s="36">
        <f>'2. Consolidated'!CR112</f>
        <v>-212.626</v>
      </c>
      <c r="BN64" s="36">
        <f>'2. Consolidated'!CS112</f>
        <v>-54.0090000000001</v>
      </c>
      <c r="BO64" s="37">
        <f>'2. Consolidated'!CT112</f>
        <v>-558.652</v>
      </c>
      <c r="BP64" s="36">
        <f>'2. Consolidated'!CU112</f>
        <v>-299.479</v>
      </c>
      <c r="BQ64" s="36">
        <f>'2. Consolidated'!CV112</f>
        <v>-589.456</v>
      </c>
      <c r="BR64" s="36">
        <f>'2. Consolidated'!CW112</f>
        <v>-412.593</v>
      </c>
      <c r="BS64" s="36">
        <f>'2. Consolidated'!CX112</f>
        <v>-335.351</v>
      </c>
      <c r="BT64" s="37">
        <f>'2. Consolidated'!CY112</f>
        <v>-1636.879</v>
      </c>
      <c r="BU64" s="36">
        <f>'2. Consolidated'!CZ112</f>
        <v>-434.439</v>
      </c>
      <c r="BV64" s="36">
        <f>'2. Consolidated'!DA112</f>
        <v>-281.233</v>
      </c>
      <c r="BW64" s="36">
        <f>'2. Consolidated'!DB112</f>
        <v>-190.908</v>
      </c>
      <c r="BX64" s="36">
        <f>'2. Consolidated'!DC112</f>
        <v>-271.769</v>
      </c>
      <c r="BY64" s="37">
        <f>'2. Consolidated'!DD112</f>
        <v>-1178.349</v>
      </c>
      <c r="BZ64" s="36">
        <f>'2. Consolidated'!DE112</f>
        <v>-361.756</v>
      </c>
      <c r="CA64" s="36">
        <f>'2. Consolidated'!DF112</f>
        <v>-333.349</v>
      </c>
      <c r="CB64" s="36">
        <f>'2. Consolidated'!DG112</f>
        <v>-275</v>
      </c>
      <c r="CC64" s="36">
        <f>'2. Consolidated'!DH112</f>
        <v>-275</v>
      </c>
      <c r="CD64" s="37">
        <f>'2. Consolidated'!DI112</f>
        <v>-1245.105</v>
      </c>
      <c r="CE64" s="36">
        <f>'2. Consolidated'!DJ112</f>
        <v>-150</v>
      </c>
      <c r="CF64" s="36">
        <f>'2. Consolidated'!DK112</f>
        <v>-150</v>
      </c>
      <c r="CG64" s="36">
        <f>'2. Consolidated'!DL112</f>
        <v>-150</v>
      </c>
      <c r="CH64" s="36">
        <f>'2. Consolidated'!DM112</f>
        <v>-150</v>
      </c>
      <c r="CI64" s="37">
        <f>'2. Consolidated'!DN112</f>
        <v>-600</v>
      </c>
      <c r="CJ64" s="36">
        <f>'2. Consolidated'!DO112</f>
        <v>-150</v>
      </c>
      <c r="CK64" s="36">
        <f>'2. Consolidated'!DP112</f>
        <v>-150</v>
      </c>
      <c r="CL64" s="36">
        <f>'2. Consolidated'!DQ112</f>
        <v>-150</v>
      </c>
      <c r="CM64" s="36">
        <f>'2. Consolidated'!DR112</f>
        <v>-150</v>
      </c>
      <c r="CN64" s="37">
        <f>'2. Consolidated'!DS112</f>
        <v>-600</v>
      </c>
    </row>
    <row r="65" ht="15" customHeight="1" spans="2:92">
      <c r="B65" s="74" t="s">
        <v>502</v>
      </c>
      <c r="C65" s="36">
        <f>'2. Consolidated'!AH126</f>
        <v>-69.176</v>
      </c>
      <c r="D65" s="36">
        <f>'2. Consolidated'!AI126</f>
        <v>1.38100000000002</v>
      </c>
      <c r="E65" s="36">
        <f>'2. Consolidated'!AJ126</f>
        <v>20.624</v>
      </c>
      <c r="F65" s="36">
        <f>'2. Consolidated'!AK126</f>
        <v>134.129</v>
      </c>
      <c r="G65" s="37">
        <f>'2. Consolidated'!AL126</f>
        <v>86.958</v>
      </c>
      <c r="H65" s="36">
        <f>'2. Consolidated'!AM126</f>
        <v>3.25599999999998</v>
      </c>
      <c r="I65" s="36">
        <f>'2. Consolidated'!AN126</f>
        <v>21.218</v>
      </c>
      <c r="J65" s="36">
        <f>'2. Consolidated'!AO126</f>
        <v>16.7250000000001</v>
      </c>
      <c r="K65" s="36">
        <f>'2. Consolidated'!AP126</f>
        <v>145.685</v>
      </c>
      <c r="L65" s="37">
        <f>'2. Consolidated'!AQ126</f>
        <v>186.884</v>
      </c>
      <c r="M65" s="36">
        <f>'2. Consolidated'!AR126</f>
        <v>4.15900000000006</v>
      </c>
      <c r="N65" s="36">
        <f>'2. Consolidated'!AS126</f>
        <v>22.759</v>
      </c>
      <c r="O65" s="36">
        <f>'2. Consolidated'!AT126</f>
        <v>-4.05700000000001</v>
      </c>
      <c r="P65" s="36">
        <f>'2. Consolidated'!AU126</f>
        <v>149.07</v>
      </c>
      <c r="Q65" s="37">
        <f>'2. Consolidated'!AV126</f>
        <v>171.931</v>
      </c>
      <c r="R65" s="36">
        <f>'2. Consolidated'!AW126</f>
        <v>45.522</v>
      </c>
      <c r="S65" s="36">
        <f>'2. Consolidated'!AX126</f>
        <v>26.341</v>
      </c>
      <c r="T65" s="36">
        <f>'2. Consolidated'!AY126</f>
        <v>5.55699999999995</v>
      </c>
      <c r="U65" s="36">
        <f>'2. Consolidated'!AZ126</f>
        <v>117.315</v>
      </c>
      <c r="V65" s="37">
        <f>'2. Consolidated'!BA126</f>
        <v>194.716</v>
      </c>
      <c r="W65" s="36">
        <f>'2. Consolidated'!BB126</f>
        <v>-6.99599999999997</v>
      </c>
      <c r="X65" s="36">
        <f>'2. Consolidated'!BC126</f>
        <v>-25.961</v>
      </c>
      <c r="Y65" s="36">
        <f>'2. Consolidated'!BD126</f>
        <v>-49.171</v>
      </c>
      <c r="Z65" s="36">
        <f>'2. Consolidated'!BE126</f>
        <v>237.374</v>
      </c>
      <c r="AA65" s="37">
        <f>'2. Consolidated'!BF126</f>
        <v>155.253</v>
      </c>
      <c r="AB65" s="36">
        <f>'2. Consolidated'!BG126</f>
        <v>13.09</v>
      </c>
      <c r="AC65" s="36">
        <f>'2. Consolidated'!BH126</f>
        <v>15.637</v>
      </c>
      <c r="AD65" s="36">
        <f>'2. Consolidated'!BI126</f>
        <v>-37.564</v>
      </c>
      <c r="AE65" s="36">
        <f>'2. Consolidated'!BJ126</f>
        <v>244.452583385339</v>
      </c>
      <c r="AF65" s="37">
        <f>'2. Consolidated'!BK126</f>
        <v>235.608</v>
      </c>
      <c r="AG65" s="36">
        <f>'2. Consolidated'!BL126</f>
        <v>-0.478999999999989</v>
      </c>
      <c r="AH65" s="36">
        <f>'2. Consolidated'!BM126</f>
        <v>52.6280000000001</v>
      </c>
      <c r="AI65" s="36">
        <f>'2. Consolidated'!BN126</f>
        <v>-27.9519999999999</v>
      </c>
      <c r="AJ65" s="36">
        <f>'2. Consolidated'!BO126</f>
        <v>307.292</v>
      </c>
      <c r="AK65" s="37">
        <f>'2. Consolidated'!BP126</f>
        <v>331.472</v>
      </c>
      <c r="AL65" s="36">
        <f>'2. Consolidated'!BQ126</f>
        <v>1.52300000000001</v>
      </c>
      <c r="AM65" s="36">
        <f>'2. Consolidated'!BR126</f>
        <v>124.496</v>
      </c>
      <c r="AN65" s="36">
        <f>'2. Consolidated'!BS126</f>
        <v>34.111</v>
      </c>
      <c r="AO65" s="36">
        <f>'2. Consolidated'!BT126</f>
        <v>356.842</v>
      </c>
      <c r="AP65" s="37">
        <f>'2. Consolidated'!BU126</f>
        <v>516.972</v>
      </c>
      <c r="AQ65" s="36">
        <f>'2. Consolidated'!BV126</f>
        <v>-131.237</v>
      </c>
      <c r="AR65" s="36">
        <f>'2. Consolidated'!BW126</f>
        <v>45.515</v>
      </c>
      <c r="AS65" s="36">
        <f>'2. Consolidated'!BX126</f>
        <v>-33.389</v>
      </c>
      <c r="AT65" s="36">
        <f>'2. Consolidated'!BY126</f>
        <v>505.379</v>
      </c>
      <c r="AU65" s="37">
        <f>'2. Consolidated'!BZ126</f>
        <v>386.268</v>
      </c>
      <c r="AV65" s="36">
        <f>'2. Consolidated'!CA126</f>
        <v>-173.344</v>
      </c>
      <c r="AW65" s="36">
        <f>'2. Consolidated'!CB126</f>
        <v>128.683</v>
      </c>
      <c r="AX65" s="36">
        <f>'2. Consolidated'!CC126</f>
        <v>-40.7650000000001</v>
      </c>
      <c r="AY65" s="36">
        <f>'2. Consolidated'!CD126</f>
        <v>659.536</v>
      </c>
      <c r="AZ65" s="37">
        <f>'2. Consolidated'!CE126</f>
        <v>574.11</v>
      </c>
      <c r="BA65" s="36">
        <f>'2. Consolidated'!CF126</f>
        <v>149.884</v>
      </c>
      <c r="BB65" s="36">
        <f>'2. Consolidated'!CG126</f>
        <v>205.394</v>
      </c>
      <c r="BC65" s="36">
        <f>'2. Consolidated'!CH126</f>
        <v>35.8549999999999</v>
      </c>
      <c r="BD65" s="36">
        <f>'2. Consolidated'!CI126</f>
        <v>603.473</v>
      </c>
      <c r="BE65" s="37">
        <f>'2. Consolidated'!CJ126</f>
        <v>994.606</v>
      </c>
      <c r="BF65" s="36">
        <f>'2. Consolidated'!CK126</f>
        <v>-354.608</v>
      </c>
      <c r="BG65" s="36">
        <f>'2. Consolidated'!CL126</f>
        <v>-47.0799999999999</v>
      </c>
      <c r="BH65" s="36">
        <f>'2. Consolidated'!CM126</f>
        <v>-109.79</v>
      </c>
      <c r="BI65" s="36">
        <f>'2. Consolidated'!CN126</f>
        <v>839.284</v>
      </c>
      <c r="BJ65" s="37">
        <f>'2. Consolidated'!CO126</f>
        <v>327.806</v>
      </c>
      <c r="BK65" s="36">
        <f>'2. Consolidated'!CP126</f>
        <v>-91.4390000000003</v>
      </c>
      <c r="BL65" s="36">
        <f>'2. Consolidated'!CQ126</f>
        <v>331.199</v>
      </c>
      <c r="BM65" s="36">
        <f>'2. Consolidated'!CR126</f>
        <v>226.953</v>
      </c>
      <c r="BN65" s="36">
        <f>'2. Consolidated'!CS126</f>
        <v>1177.586</v>
      </c>
      <c r="BO65" s="37">
        <f>'2. Consolidated'!CT126</f>
        <v>1644.299</v>
      </c>
      <c r="BP65" s="36">
        <f>'2. Consolidated'!CU126</f>
        <v>-3.15699999999983</v>
      </c>
      <c r="BQ65" s="36">
        <f>'2. Consolidated'!CV126</f>
        <v>298.054</v>
      </c>
      <c r="BR65" s="36">
        <f>'2. Consolidated'!CW126</f>
        <v>122.176</v>
      </c>
      <c r="BS65" s="36">
        <f>'2. Consolidated'!CX126</f>
        <v>1166.408</v>
      </c>
      <c r="BT65" s="37">
        <f>'2. Consolidated'!CY126</f>
        <v>1583.481</v>
      </c>
      <c r="BU65" s="36">
        <f>'2. Consolidated'!CZ126</f>
        <v>-271.217</v>
      </c>
      <c r="BV65" s="36">
        <f>'2. Consolidated'!DA126</f>
        <v>150.778</v>
      </c>
      <c r="BW65" s="36">
        <f>'2. Consolidated'!DB126</f>
        <v>82.443</v>
      </c>
      <c r="BX65" s="36">
        <f>'2. Consolidated'!DC126</f>
        <v>959.671</v>
      </c>
      <c r="BY65" s="37">
        <f>'2. Consolidated'!DD126</f>
        <v>921.675000000001</v>
      </c>
      <c r="BZ65" s="36">
        <f>'2. Consolidated'!DE126</f>
        <v>87.0599999999999</v>
      </c>
      <c r="CA65" s="36">
        <f>'2. Consolidated'!DF126</f>
        <v>225.162</v>
      </c>
      <c r="CB65" s="36">
        <f>'2. Consolidated'!DG126</f>
        <v>-343.48137050483</v>
      </c>
      <c r="CC65" s="36">
        <f>'2. Consolidated'!DH126</f>
        <v>724.082857556066</v>
      </c>
      <c r="CD65" s="37">
        <f>'2. Consolidated'!DI126</f>
        <v>692.823487051235</v>
      </c>
      <c r="CE65" s="36">
        <f>'2. Consolidated'!DJ126</f>
        <v>276.073149034159</v>
      </c>
      <c r="CF65" s="36">
        <f>'2. Consolidated'!DK126</f>
        <v>160.138110529143</v>
      </c>
      <c r="CG65" s="36">
        <f>'2. Consolidated'!DL126</f>
        <v>-352.076665030646</v>
      </c>
      <c r="CH65" s="36">
        <f>'2. Consolidated'!DM126</f>
        <v>736.028553058786</v>
      </c>
      <c r="CI65" s="37">
        <f>'2. Consolidated'!DN126</f>
        <v>820.163147591439</v>
      </c>
      <c r="CJ65" s="36">
        <f>'2. Consolidated'!DO126</f>
        <v>259.93711068711</v>
      </c>
      <c r="CK65" s="36">
        <f>'2. Consolidated'!DP126</f>
        <v>186.562178739628</v>
      </c>
      <c r="CL65" s="36">
        <f>'2. Consolidated'!DQ126</f>
        <v>-363.067239080383</v>
      </c>
      <c r="CM65" s="36">
        <f>'2. Consolidated'!DR126</f>
        <v>725.123420979841</v>
      </c>
      <c r="CN65" s="37">
        <f>'2. Consolidated'!DS126</f>
        <v>808.555471326197</v>
      </c>
    </row>
    <row r="66" s="5" customFormat="1" ht="15" customHeight="1" spans="2:92">
      <c r="B66" s="75" t="s">
        <v>503</v>
      </c>
      <c r="C66" s="783" t="s">
        <v>208</v>
      </c>
      <c r="D66" s="783" t="s">
        <v>208</v>
      </c>
      <c r="E66" s="783" t="s">
        <v>208</v>
      </c>
      <c r="F66" s="783" t="s">
        <v>208</v>
      </c>
      <c r="G66" s="77">
        <f>'2. Consolidated'!AL346</f>
        <v>0.350451855927479</v>
      </c>
      <c r="H66" s="783" t="s">
        <v>208</v>
      </c>
      <c r="I66" s="783" t="s">
        <v>208</v>
      </c>
      <c r="J66" s="783" t="s">
        <v>208</v>
      </c>
      <c r="K66" s="783" t="s">
        <v>208</v>
      </c>
      <c r="L66" s="77">
        <f>'2. Consolidated'!AQ346</f>
        <v>0.370870558279755</v>
      </c>
      <c r="M66" s="783" t="s">
        <v>208</v>
      </c>
      <c r="N66" s="783" t="s">
        <v>208</v>
      </c>
      <c r="O66" s="783" t="s">
        <v>208</v>
      </c>
      <c r="P66" s="783" t="s">
        <v>208</v>
      </c>
      <c r="Q66" s="77">
        <f>'2. Consolidated'!AV346</f>
        <v>0.31629582258805</v>
      </c>
      <c r="R66" s="783" t="s">
        <v>208</v>
      </c>
      <c r="S66" s="783" t="s">
        <v>208</v>
      </c>
      <c r="T66" s="783" t="s">
        <v>208</v>
      </c>
      <c r="U66" s="783" t="s">
        <v>208</v>
      </c>
      <c r="V66" s="77">
        <f>'2. Consolidated'!BA346</f>
        <v>0.281743853539292</v>
      </c>
      <c r="W66" s="783" t="s">
        <v>208</v>
      </c>
      <c r="X66" s="783" t="s">
        <v>208</v>
      </c>
      <c r="Y66" s="783" t="s">
        <v>208</v>
      </c>
      <c r="Z66" s="783" t="s">
        <v>208</v>
      </c>
      <c r="AA66" s="77">
        <f>'2. Consolidated'!BF346</f>
        <v>0.242132940197549</v>
      </c>
      <c r="AB66" s="783" t="s">
        <v>208</v>
      </c>
      <c r="AC66" s="783" t="s">
        <v>208</v>
      </c>
      <c r="AD66" s="783" t="s">
        <v>208</v>
      </c>
      <c r="AE66" s="783" t="s">
        <v>208</v>
      </c>
      <c r="AF66" s="77">
        <f>'2. Consolidated'!BK346</f>
        <v>0.227972477378309</v>
      </c>
      <c r="AG66" s="783" t="s">
        <v>208</v>
      </c>
      <c r="AH66" s="783" t="s">
        <v>208</v>
      </c>
      <c r="AI66" s="783" t="s">
        <v>208</v>
      </c>
      <c r="AJ66" s="783" t="s">
        <v>208</v>
      </c>
      <c r="AK66" s="77">
        <f>'2. Consolidated'!BP346</f>
        <v>0.236811254834914</v>
      </c>
      <c r="AL66" s="783" t="s">
        <v>208</v>
      </c>
      <c r="AM66" s="783" t="s">
        <v>208</v>
      </c>
      <c r="AN66" s="783" t="s">
        <v>208</v>
      </c>
      <c r="AO66" s="783" t="s">
        <v>208</v>
      </c>
      <c r="AP66" s="77">
        <f>'2. Consolidated'!BU346</f>
        <v>0.297412439203042</v>
      </c>
      <c r="AQ66" s="783" t="s">
        <v>208</v>
      </c>
      <c r="AR66" s="783" t="s">
        <v>208</v>
      </c>
      <c r="AS66" s="783" t="s">
        <v>208</v>
      </c>
      <c r="AT66" s="783" t="s">
        <v>208</v>
      </c>
      <c r="AU66" s="77">
        <f>'2. Consolidated'!BZ346</f>
        <v>0.314153963130599</v>
      </c>
      <c r="AV66" s="783" t="s">
        <v>208</v>
      </c>
      <c r="AW66" s="783" t="s">
        <v>208</v>
      </c>
      <c r="AX66" s="783" t="s">
        <v>208</v>
      </c>
      <c r="AY66" s="783" t="s">
        <v>208</v>
      </c>
      <c r="AZ66" s="77">
        <f>'2. Consolidated'!CE346</f>
        <v>0.249229573545292</v>
      </c>
      <c r="BA66" s="783" t="s">
        <v>208</v>
      </c>
      <c r="BB66" s="783" t="s">
        <v>208</v>
      </c>
      <c r="BC66" s="783" t="s">
        <v>208</v>
      </c>
      <c r="BD66" s="783" t="s">
        <v>208</v>
      </c>
      <c r="BE66" s="77">
        <f>'2. Consolidated'!CJ346</f>
        <v>0.330236362130025</v>
      </c>
      <c r="BF66" s="783" t="s">
        <v>208</v>
      </c>
      <c r="BG66" s="783" t="s">
        <v>208</v>
      </c>
      <c r="BH66" s="783" t="s">
        <v>208</v>
      </c>
      <c r="BI66" s="783" t="s">
        <v>208</v>
      </c>
      <c r="BJ66" s="77">
        <f>'2. Consolidated'!CO346</f>
        <v>0.344303176496512</v>
      </c>
      <c r="BK66" s="783" t="s">
        <v>208</v>
      </c>
      <c r="BL66" s="783" t="s">
        <v>208</v>
      </c>
      <c r="BM66" s="783" t="s">
        <v>208</v>
      </c>
      <c r="BN66" s="783" t="s">
        <v>208</v>
      </c>
      <c r="BO66" s="77">
        <f>'2. Consolidated'!CT346</f>
        <v>0.357517408059519</v>
      </c>
      <c r="BP66" s="783" t="s">
        <v>208</v>
      </c>
      <c r="BQ66" s="783" t="s">
        <v>208</v>
      </c>
      <c r="BR66" s="783" t="s">
        <v>208</v>
      </c>
      <c r="BS66" s="783" t="s">
        <v>208</v>
      </c>
      <c r="BT66" s="77">
        <f>'2. Consolidated'!CY346</f>
        <v>0.343937419101332</v>
      </c>
      <c r="BU66" s="783" t="s">
        <v>208</v>
      </c>
      <c r="BV66" s="783" t="s">
        <v>208</v>
      </c>
      <c r="BW66" s="783" t="s">
        <v>208</v>
      </c>
      <c r="BX66" s="783" t="s">
        <v>208</v>
      </c>
      <c r="BY66" s="77">
        <f>'2. Consolidated'!DD346</f>
        <v>0.268989141562781</v>
      </c>
      <c r="BZ66" s="783" t="s">
        <v>208</v>
      </c>
      <c r="CA66" s="783" t="s">
        <v>208</v>
      </c>
      <c r="CB66" s="783" t="s">
        <v>208</v>
      </c>
      <c r="CC66" s="783" t="s">
        <v>208</v>
      </c>
      <c r="CD66" s="77">
        <f>'2. Consolidated'!DI346</f>
        <v>0.178534892683514</v>
      </c>
      <c r="CE66" s="783" t="s">
        <v>208</v>
      </c>
      <c r="CF66" s="783" t="s">
        <v>208</v>
      </c>
      <c r="CG66" s="783" t="s">
        <v>208</v>
      </c>
      <c r="CH66" s="783" t="s">
        <v>208</v>
      </c>
      <c r="CI66" s="77">
        <f>'2. Consolidated'!DN346</f>
        <v>0.148121829012972</v>
      </c>
      <c r="CJ66" s="783" t="s">
        <v>208</v>
      </c>
      <c r="CK66" s="783" t="s">
        <v>208</v>
      </c>
      <c r="CL66" s="783" t="s">
        <v>208</v>
      </c>
      <c r="CM66" s="783" t="s">
        <v>208</v>
      </c>
      <c r="CN66" s="77">
        <f>'2. Consolidated'!DS346</f>
        <v>0.138864024166956</v>
      </c>
    </row>
    <row r="67" ht="15" customHeight="1" spans="2:92">
      <c r="B67" s="74" t="s">
        <v>222</v>
      </c>
      <c r="C67" s="36">
        <f>'2. Consolidated'!AH173</f>
        <v>260.871</v>
      </c>
      <c r="D67" s="36">
        <f>'2. Consolidated'!AI173</f>
        <v>264.728</v>
      </c>
      <c r="E67" s="36">
        <f>'2. Consolidated'!AJ173</f>
        <v>276.946</v>
      </c>
      <c r="F67" s="36">
        <f>'2. Consolidated'!AK173</f>
        <v>409.437</v>
      </c>
      <c r="G67" s="37">
        <f>'2. Consolidated'!AL173</f>
        <v>409.437</v>
      </c>
      <c r="H67" s="36">
        <f>'2. Consolidated'!AM173</f>
        <v>424.33</v>
      </c>
      <c r="I67" s="36">
        <f>'2. Consolidated'!AN173</f>
        <v>444.286</v>
      </c>
      <c r="J67" s="36">
        <f>'2. Consolidated'!AO173</f>
        <v>439.423</v>
      </c>
      <c r="K67" s="36">
        <f>'2. Consolidated'!AP173</f>
        <v>590.179</v>
      </c>
      <c r="L67" s="37">
        <f>'2. Consolidated'!AQ173</f>
        <v>590.179</v>
      </c>
      <c r="M67" s="36">
        <f>'2. Consolidated'!AR173</f>
        <v>588.418</v>
      </c>
      <c r="N67" s="36">
        <f>'2. Consolidated'!AS173</f>
        <v>610.273</v>
      </c>
      <c r="O67" s="36">
        <f>'2. Consolidated'!AT173</f>
        <v>600.745</v>
      </c>
      <c r="P67" s="36">
        <f>'2. Consolidated'!AU173</f>
        <v>698.649</v>
      </c>
      <c r="Q67" s="37">
        <f>'2. Consolidated'!AV173</f>
        <v>698.649</v>
      </c>
      <c r="R67" s="36">
        <f>'2. Consolidated'!AW173</f>
        <v>751.965</v>
      </c>
      <c r="S67" s="36">
        <f>'2. Consolidated'!AX173</f>
        <v>725.073</v>
      </c>
      <c r="T67" s="36">
        <f>'2. Consolidated'!AY173</f>
        <v>633.582</v>
      </c>
      <c r="U67" s="36">
        <f>'2. Consolidated'!AZ173</f>
        <v>664.479</v>
      </c>
      <c r="V67" s="37">
        <f>'2. Consolidated'!BA173</f>
        <v>664.479</v>
      </c>
      <c r="W67" s="36">
        <f>'2. Consolidated'!BB173</f>
        <v>655.881</v>
      </c>
      <c r="X67" s="36">
        <f>'2. Consolidated'!BC173</f>
        <v>541.262</v>
      </c>
      <c r="Y67" s="36">
        <f>'2. Consolidated'!BD173</f>
        <v>403.446</v>
      </c>
      <c r="Z67" s="36">
        <f>'2. Consolidated'!BE173</f>
        <v>501.482</v>
      </c>
      <c r="AA67" s="37">
        <f>'2. Consolidated'!BF173</f>
        <v>501.482</v>
      </c>
      <c r="AB67" s="36">
        <f>'2. Consolidated'!BG173</f>
        <v>550.046</v>
      </c>
      <c r="AC67" s="36">
        <f>'2. Consolidated'!BH173</f>
        <v>535.35</v>
      </c>
      <c r="AD67" s="36">
        <f>'2. Consolidated'!BI173</f>
        <v>480.386</v>
      </c>
      <c r="AE67" s="36">
        <f>'2. Consolidated'!BJ173</f>
        <v>734.846</v>
      </c>
      <c r="AF67" s="37">
        <f>'2. Consolidated'!BK173</f>
        <v>734.846</v>
      </c>
      <c r="AG67" s="36">
        <f>'2. Consolidated'!BL173</f>
        <v>698.289</v>
      </c>
      <c r="AH67" s="36">
        <f>'2. Consolidated'!BM173</f>
        <v>721.212</v>
      </c>
      <c r="AI67" s="36">
        <f>'2. Consolidated'!BN173</f>
        <v>650.054</v>
      </c>
      <c r="AJ67" s="36">
        <f>'2. Consolidated'!BO173</f>
        <v>990.501</v>
      </c>
      <c r="AK67" s="37">
        <f>'2. Consolidated'!BP173</f>
        <v>990.501</v>
      </c>
      <c r="AL67" s="36">
        <f>'2. Consolidated'!BQ173</f>
        <v>966.571</v>
      </c>
      <c r="AM67" s="36">
        <f>'2. Consolidated'!BR173</f>
        <v>777.841</v>
      </c>
      <c r="AN67" s="36">
        <f>'2. Consolidated'!BS173</f>
        <v>703.607</v>
      </c>
      <c r="AO67" s="36">
        <f>'2. Consolidated'!BT173</f>
        <v>881.32</v>
      </c>
      <c r="AP67" s="37">
        <f>'2. Consolidated'!BU173</f>
        <v>881.32</v>
      </c>
      <c r="AQ67" s="36">
        <f>'2. Consolidated'!BV173</f>
        <v>576.241</v>
      </c>
      <c r="AR67" s="36">
        <f>'2. Consolidated'!BW173</f>
        <v>623.738</v>
      </c>
      <c r="AS67" s="36">
        <f>'2. Consolidated'!BX173</f>
        <v>586.153</v>
      </c>
      <c r="AT67" s="36">
        <f>'2. Consolidated'!BY173</f>
        <v>1093.505</v>
      </c>
      <c r="AU67" s="37">
        <f>'2. Consolidated'!BZ173</f>
        <v>1093.505</v>
      </c>
      <c r="AV67" s="36">
        <f>'2. Consolidated'!CA173</f>
        <v>823.006</v>
      </c>
      <c r="AW67" s="36">
        <f>'2. Consolidated'!CB173</f>
        <v>522.998</v>
      </c>
      <c r="AX67" s="36">
        <f>'2. Consolidated'!CC173</f>
        <v>481.581</v>
      </c>
      <c r="AY67" s="36">
        <f>'2. Consolidated'!CD173</f>
        <v>1150.517</v>
      </c>
      <c r="AZ67" s="37">
        <f>'2. Consolidated'!CE173</f>
        <v>1150.517</v>
      </c>
      <c r="BA67" s="36">
        <f>'2. Consolidated'!CF173</f>
        <v>1179.739</v>
      </c>
      <c r="BB67" s="36">
        <f>'2. Consolidated'!CG173</f>
        <v>1170.041</v>
      </c>
      <c r="BC67" s="36">
        <f>'2. Consolidated'!CH173</f>
        <v>993.591</v>
      </c>
      <c r="BD67" s="36">
        <f>'2. Consolidated'!CI173</f>
        <v>1259.871</v>
      </c>
      <c r="BE67" s="37">
        <f>'2. Consolidated'!CJ173</f>
        <v>1259.871</v>
      </c>
      <c r="BF67" s="36">
        <f>'2. Consolidated'!CK173</f>
        <v>649.016</v>
      </c>
      <c r="BG67" s="36">
        <f>'2. Consolidated'!CL173</f>
        <v>498.831</v>
      </c>
      <c r="BH67" s="36">
        <f>'2. Consolidated'!CM173</f>
        <v>352.624</v>
      </c>
      <c r="BI67" s="36">
        <f>'2. Consolidated'!CN173</f>
        <v>1154.867</v>
      </c>
      <c r="BJ67" s="37">
        <f>'2. Consolidated'!CO173</f>
        <v>1154.867</v>
      </c>
      <c r="BK67" s="36">
        <f>'2. Consolidated'!CP173</f>
        <v>950.607</v>
      </c>
      <c r="BL67" s="36">
        <f>'2. Consolidated'!CQ173</f>
        <v>1107.53</v>
      </c>
      <c r="BM67" s="36">
        <f>'2. Consolidated'!CR173</f>
        <v>1091.138</v>
      </c>
      <c r="BN67" s="36">
        <f>'2. Consolidated'!CS173</f>
        <v>2243.971</v>
      </c>
      <c r="BO67" s="37">
        <f>'2. Consolidated'!CT173</f>
        <v>2243.971</v>
      </c>
      <c r="BP67" s="36">
        <f>'2. Consolidated'!CU173</f>
        <v>1900.672</v>
      </c>
      <c r="BQ67" s="36">
        <f>'2. Consolidated'!CV173</f>
        <v>1610.112</v>
      </c>
      <c r="BR67" s="36">
        <f>'2. Consolidated'!CW173</f>
        <v>1188.419</v>
      </c>
      <c r="BS67" s="36">
        <f>'2. Consolidated'!CX173</f>
        <v>1984.336</v>
      </c>
      <c r="BT67" s="37">
        <f>'2. Consolidated'!CY173</f>
        <v>1984.336</v>
      </c>
      <c r="BU67" s="36">
        <f>'2. Consolidated'!CZ173</f>
        <v>1325.272</v>
      </c>
      <c r="BV67" s="36">
        <f>'2. Consolidated'!DA173</f>
        <v>1155.794</v>
      </c>
      <c r="BW67" s="36">
        <f>'2. Consolidated'!DB173</f>
        <v>1035.862</v>
      </c>
      <c r="BX67" s="36">
        <f>'2. Consolidated'!DC173</f>
        <v>1807.202</v>
      </c>
      <c r="BY67" s="37">
        <f>'2. Consolidated'!DD173</f>
        <v>1807.202</v>
      </c>
      <c r="BZ67" s="36">
        <f>'2. Consolidated'!DE173</f>
        <v>1514.729</v>
      </c>
      <c r="CA67" s="36">
        <f>'2. Consolidated'!DF173</f>
        <v>1389.737</v>
      </c>
      <c r="CB67" s="36">
        <f>'2. Consolidated'!DG173</f>
        <v>771.25562949517</v>
      </c>
      <c r="CC67" s="36">
        <f>'2. Consolidated'!DH173</f>
        <v>1220.33848705124</v>
      </c>
      <c r="CD67" s="37">
        <f>'2. Consolidated'!DI173</f>
        <v>1220.33848705124</v>
      </c>
      <c r="CE67" s="36">
        <f>'2. Consolidated'!DJ173</f>
        <v>1346.41163608539</v>
      </c>
      <c r="CF67" s="36">
        <f>'2. Consolidated'!DK173</f>
        <v>1356.54974661454</v>
      </c>
      <c r="CG67" s="36">
        <f>'2. Consolidated'!DL173</f>
        <v>854.47308158389</v>
      </c>
      <c r="CH67" s="36">
        <f>'2. Consolidated'!DM173</f>
        <v>1440.50163464268</v>
      </c>
      <c r="CI67" s="37">
        <f>'2. Consolidated'!DN173</f>
        <v>1440.50163464268</v>
      </c>
      <c r="CJ67" s="36">
        <f>'2. Consolidated'!DO173</f>
        <v>1550.43874532979</v>
      </c>
      <c r="CK67" s="36">
        <f>'2. Consolidated'!DP173</f>
        <v>1587.00092406941</v>
      </c>
      <c r="CL67" s="36">
        <f>'2. Consolidated'!DQ173</f>
        <v>1073.93368498903</v>
      </c>
      <c r="CM67" s="36">
        <f>'2. Consolidated'!DR173</f>
        <v>1649.05710596887</v>
      </c>
      <c r="CN67" s="37">
        <f>'2. Consolidated'!DS173</f>
        <v>1649.05710596887</v>
      </c>
    </row>
    <row r="68" ht="15" customHeight="1" spans="2:92">
      <c r="B68" s="74" t="s">
        <v>229</v>
      </c>
      <c r="C68" s="36">
        <f>'2. Consolidated'!AH320</f>
        <v>-260.871</v>
      </c>
      <c r="D68" s="36">
        <f>'2. Consolidated'!AI320</f>
        <v>-264.728</v>
      </c>
      <c r="E68" s="36">
        <f>'2. Consolidated'!AJ320</f>
        <v>-276.946</v>
      </c>
      <c r="F68" s="36">
        <f>'2. Consolidated'!AK320</f>
        <v>-409.437</v>
      </c>
      <c r="G68" s="37">
        <f>'2. Consolidated'!AL320</f>
        <v>-409.437</v>
      </c>
      <c r="H68" s="36">
        <f>'2. Consolidated'!AM320</f>
        <v>-424.33</v>
      </c>
      <c r="I68" s="36">
        <f>'2. Consolidated'!AN320</f>
        <v>-444.286</v>
      </c>
      <c r="J68" s="36">
        <f>'2. Consolidated'!AO320</f>
        <v>-439.423</v>
      </c>
      <c r="K68" s="36">
        <f>'2. Consolidated'!AP320</f>
        <v>-590.179</v>
      </c>
      <c r="L68" s="37">
        <f>'2. Consolidated'!AQ320</f>
        <v>-590.179</v>
      </c>
      <c r="M68" s="36">
        <f>'2. Consolidated'!AR320</f>
        <v>-588.418</v>
      </c>
      <c r="N68" s="36">
        <f>'2. Consolidated'!AS320</f>
        <v>-610.273</v>
      </c>
      <c r="O68" s="36">
        <f>'2. Consolidated'!AT320</f>
        <v>-600.745</v>
      </c>
      <c r="P68" s="36">
        <f>'2. Consolidated'!AU320</f>
        <v>-698.649</v>
      </c>
      <c r="Q68" s="37">
        <f>'2. Consolidated'!AV320</f>
        <v>-698.649</v>
      </c>
      <c r="R68" s="36">
        <f>'2. Consolidated'!AW320</f>
        <v>-751.965</v>
      </c>
      <c r="S68" s="36">
        <f>'2. Consolidated'!AX320</f>
        <v>-725.073</v>
      </c>
      <c r="T68" s="36">
        <f>'2. Consolidated'!AY320</f>
        <v>-633.582</v>
      </c>
      <c r="U68" s="36">
        <f>'2. Consolidated'!AZ320</f>
        <v>-664.479</v>
      </c>
      <c r="V68" s="37">
        <f>'2. Consolidated'!BA320</f>
        <v>-664.479</v>
      </c>
      <c r="W68" s="36">
        <f>'2. Consolidated'!BB320</f>
        <v>-655.881</v>
      </c>
      <c r="X68" s="36">
        <f>'2. Consolidated'!BC320</f>
        <v>-541.262</v>
      </c>
      <c r="Y68" s="36">
        <f>'2. Consolidated'!BD320</f>
        <v>-403.446</v>
      </c>
      <c r="Z68" s="36">
        <f>'2. Consolidated'!BE320</f>
        <v>-501.482</v>
      </c>
      <c r="AA68" s="37">
        <f>'2. Consolidated'!BF320</f>
        <v>-501.482</v>
      </c>
      <c r="AB68" s="36">
        <f>'2. Consolidated'!BG320</f>
        <v>-550.046</v>
      </c>
      <c r="AC68" s="36">
        <f>'2. Consolidated'!BH320</f>
        <v>-535.35</v>
      </c>
      <c r="AD68" s="36">
        <f>'2. Consolidated'!BI320</f>
        <v>-480.386</v>
      </c>
      <c r="AE68" s="36">
        <f>'2. Consolidated'!BJ320</f>
        <v>-734.846</v>
      </c>
      <c r="AF68" s="37">
        <f>'2. Consolidated'!BK320</f>
        <v>-734.846</v>
      </c>
      <c r="AG68" s="36">
        <f>'2. Consolidated'!BL320</f>
        <v>-698.289</v>
      </c>
      <c r="AH68" s="36">
        <f>'2. Consolidated'!BM320</f>
        <v>-721.212</v>
      </c>
      <c r="AI68" s="36">
        <f>'2. Consolidated'!BN320</f>
        <v>-650.054</v>
      </c>
      <c r="AJ68" s="36">
        <f>'2. Consolidated'!BO320</f>
        <v>-990.501</v>
      </c>
      <c r="AK68" s="37">
        <f>'2. Consolidated'!BP320</f>
        <v>-990.501</v>
      </c>
      <c r="AL68" s="36">
        <f>'2. Consolidated'!BQ320</f>
        <v>-966.571</v>
      </c>
      <c r="AM68" s="36">
        <f>'2. Consolidated'!BR320</f>
        <v>-677.841</v>
      </c>
      <c r="AN68" s="36">
        <f>'2. Consolidated'!BS320</f>
        <v>-703.607</v>
      </c>
      <c r="AO68" s="36">
        <f>'2. Consolidated'!BT320</f>
        <v>-881.32</v>
      </c>
      <c r="AP68" s="37">
        <f>'2. Consolidated'!BU320</f>
        <v>-881.32</v>
      </c>
      <c r="AQ68" s="36">
        <f>'2. Consolidated'!BV320</f>
        <v>-576.241</v>
      </c>
      <c r="AR68" s="36">
        <f>'2. Consolidated'!BW320</f>
        <v>-623.738</v>
      </c>
      <c r="AS68" s="36">
        <f>'2. Consolidated'!BX320</f>
        <v>-586.153</v>
      </c>
      <c r="AT68" s="36">
        <f>'2. Consolidated'!BY320</f>
        <v>-1093.505</v>
      </c>
      <c r="AU68" s="37">
        <f>'2. Consolidated'!BZ320</f>
        <v>-1093.505</v>
      </c>
      <c r="AV68" s="36">
        <f>'2. Consolidated'!CA320</f>
        <v>-823.006</v>
      </c>
      <c r="AW68" s="36">
        <f>'2. Consolidated'!CB320</f>
        <v>-522.998</v>
      </c>
      <c r="AX68" s="36">
        <f>'2. Consolidated'!CC320</f>
        <v>-481.581</v>
      </c>
      <c r="AY68" s="36">
        <f>'2. Consolidated'!CD320</f>
        <v>-1150.517</v>
      </c>
      <c r="AZ68" s="37">
        <f>'2. Consolidated'!CE320</f>
        <v>-1150.517</v>
      </c>
      <c r="BA68" s="36">
        <f>'2. Consolidated'!CF320</f>
        <v>-1179.739</v>
      </c>
      <c r="BB68" s="36">
        <f>'2. Consolidated'!CG320</f>
        <v>-1170.041</v>
      </c>
      <c r="BC68" s="36">
        <f>'2. Consolidated'!CH320</f>
        <v>-993.591</v>
      </c>
      <c r="BD68" s="36">
        <f>'2. Consolidated'!CI320</f>
        <v>-1259.871</v>
      </c>
      <c r="BE68" s="37">
        <f>'2. Consolidated'!CJ320</f>
        <v>-1259.871</v>
      </c>
      <c r="BF68" s="36">
        <f>'2. Consolidated'!CK320</f>
        <v>-649.016</v>
      </c>
      <c r="BG68" s="36">
        <f>'2. Consolidated'!CL320</f>
        <v>-498.831</v>
      </c>
      <c r="BH68" s="36">
        <f>'2. Consolidated'!CM320</f>
        <v>-352.624</v>
      </c>
      <c r="BI68" s="36">
        <f>'2. Consolidated'!CN320</f>
        <v>-1154.867</v>
      </c>
      <c r="BJ68" s="37">
        <f>'2. Consolidated'!CO320</f>
        <v>-1154.867</v>
      </c>
      <c r="BK68" s="36">
        <f>'2. Consolidated'!CP320</f>
        <v>-950.607</v>
      </c>
      <c r="BL68" s="36">
        <f>'2. Consolidated'!CQ320</f>
        <v>-1107.53</v>
      </c>
      <c r="BM68" s="36">
        <f>'2. Consolidated'!CR320</f>
        <v>-1091.138</v>
      </c>
      <c r="BN68" s="36">
        <f>'2. Consolidated'!CS320</f>
        <v>-2243.971</v>
      </c>
      <c r="BO68" s="37">
        <f>'2. Consolidated'!CT320</f>
        <v>-2243.971</v>
      </c>
      <c r="BP68" s="36">
        <f>'2. Consolidated'!CU320</f>
        <v>-1900.672</v>
      </c>
      <c r="BQ68" s="36">
        <f>'2. Consolidated'!CV320</f>
        <v>-1610.112</v>
      </c>
      <c r="BR68" s="36">
        <f>'2. Consolidated'!CW320</f>
        <v>-1188.419</v>
      </c>
      <c r="BS68" s="36">
        <f>'2. Consolidated'!CX320</f>
        <v>-1984.336</v>
      </c>
      <c r="BT68" s="37">
        <f>'2. Consolidated'!CY320</f>
        <v>-1984.336</v>
      </c>
      <c r="BU68" s="36">
        <f>'2. Consolidated'!CZ320</f>
        <v>-1325.272</v>
      </c>
      <c r="BV68" s="36">
        <f>'2. Consolidated'!DA320</f>
        <v>-1155.794</v>
      </c>
      <c r="BW68" s="36">
        <f>'2. Consolidated'!DB320</f>
        <v>-1035.862</v>
      </c>
      <c r="BX68" s="36">
        <f>'2. Consolidated'!DC320</f>
        <v>-1807.202</v>
      </c>
      <c r="BY68" s="37">
        <f>'2. Consolidated'!DD320</f>
        <v>-1807.202</v>
      </c>
      <c r="BZ68" s="36">
        <f>'2. Consolidated'!DE320</f>
        <v>-1514.729</v>
      </c>
      <c r="CA68" s="36">
        <f>'2. Consolidated'!DF320</f>
        <v>-1389.737</v>
      </c>
      <c r="CB68" s="36">
        <f>'2. Consolidated'!DG320</f>
        <v>-771.25562949517</v>
      </c>
      <c r="CC68" s="36">
        <f>'2. Consolidated'!DH320</f>
        <v>-1220.33848705124</v>
      </c>
      <c r="CD68" s="37">
        <f>'2. Consolidated'!DI320</f>
        <v>-1220.33848705124</v>
      </c>
      <c r="CE68" s="36">
        <f>'2. Consolidated'!DJ320</f>
        <v>-1346.41163608539</v>
      </c>
      <c r="CF68" s="36">
        <f>'2. Consolidated'!DK320</f>
        <v>-1356.54974661454</v>
      </c>
      <c r="CG68" s="36">
        <f>'2. Consolidated'!DL320</f>
        <v>-854.47308158389</v>
      </c>
      <c r="CH68" s="36">
        <f>'2. Consolidated'!DM320</f>
        <v>-1440.50163464268</v>
      </c>
      <c r="CI68" s="37">
        <f>'2. Consolidated'!DN320</f>
        <v>-1440.50163464268</v>
      </c>
      <c r="CJ68" s="36">
        <f>'2. Consolidated'!DO320</f>
        <v>-1550.43874532979</v>
      </c>
      <c r="CK68" s="36">
        <f>'2. Consolidated'!DP320</f>
        <v>-1587.00092406941</v>
      </c>
      <c r="CL68" s="36">
        <f>'2. Consolidated'!DQ320</f>
        <v>-1073.93368498903</v>
      </c>
      <c r="CM68" s="36">
        <f>'2. Consolidated'!DR320</f>
        <v>-1649.05710596887</v>
      </c>
      <c r="CN68" s="37">
        <f>'2. Consolidated'!DS320</f>
        <v>-1649.05710596887</v>
      </c>
    </row>
    <row r="69" ht="15" customHeight="1" spans="2:92">
      <c r="B69" s="74" t="s">
        <v>504</v>
      </c>
      <c r="C69" s="782" t="s">
        <v>208</v>
      </c>
      <c r="D69" s="782" t="s">
        <v>208</v>
      </c>
      <c r="E69" s="782" t="s">
        <v>208</v>
      </c>
      <c r="F69" s="782" t="s">
        <v>208</v>
      </c>
      <c r="G69" s="78">
        <f>'2. Consolidated'!AL321</f>
        <v>-1.29071581913958</v>
      </c>
      <c r="H69" s="73">
        <f>'2. Consolidated'!AM321</f>
        <v>-1.23945529747161</v>
      </c>
      <c r="I69" s="73">
        <f>'2. Consolidated'!AN321</f>
        <v>-1.25074179799447</v>
      </c>
      <c r="J69" s="73">
        <f>'2. Consolidated'!AO321</f>
        <v>-1.15557349630783</v>
      </c>
      <c r="K69" s="73">
        <f>'2. Consolidated'!AP321</f>
        <v>-1.40706753544616</v>
      </c>
      <c r="L69" s="78">
        <f>'2. Consolidated'!AQ321</f>
        <v>-1.40706753544616</v>
      </c>
      <c r="M69" s="73">
        <f>'2. Consolidated'!AR321</f>
        <v>-1.42063380927778</v>
      </c>
      <c r="N69" s="73">
        <f>'2. Consolidated'!AS321</f>
        <v>-1.43462336825823</v>
      </c>
      <c r="O69" s="73">
        <f>'2. Consolidated'!AT321</f>
        <v>-1.36985317423218</v>
      </c>
      <c r="P69" s="73">
        <f>'2. Consolidated'!AU321</f>
        <v>-1.58630280682793</v>
      </c>
      <c r="Q69" s="78">
        <f>'2. Consolidated'!AV321</f>
        <v>-1.58630280682793</v>
      </c>
      <c r="R69" s="73">
        <f>'2. Consolidated'!AW321</f>
        <v>-1.68954701405849</v>
      </c>
      <c r="S69" s="73">
        <f>'2. Consolidated'!AX321</f>
        <v>-1.66473347430484</v>
      </c>
      <c r="T69" s="73">
        <f>'2. Consolidated'!AY321</f>
        <v>-1.48357275824523</v>
      </c>
      <c r="U69" s="73">
        <f>'2. Consolidated'!AZ321</f>
        <v>-1.52959145151191</v>
      </c>
      <c r="V69" s="78">
        <f>'2. Consolidated'!BA321</f>
        <v>-1.52965835399416</v>
      </c>
      <c r="W69" s="73">
        <f>'2. Consolidated'!BB321</f>
        <v>-1.50332464639102</v>
      </c>
      <c r="X69" s="73">
        <f>'2. Consolidated'!BC321</f>
        <v>-1.2357100295194</v>
      </c>
      <c r="Y69" s="73">
        <f>'2. Consolidated'!BD321</f>
        <v>-0.940139909678562</v>
      </c>
      <c r="Z69" s="73">
        <f>'2. Consolidated'!BE321</f>
        <v>-1.13339767074463</v>
      </c>
      <c r="AA69" s="78">
        <f>'2. Consolidated'!BF321</f>
        <v>-1.13339767074463</v>
      </c>
      <c r="AB69" s="73">
        <f>'2. Consolidated'!BG321</f>
        <v>-1.26418004095601</v>
      </c>
      <c r="AC69" s="73">
        <f>'2. Consolidated'!BH321</f>
        <v>-1.19957246954854</v>
      </c>
      <c r="AD69" s="73">
        <f>'2. Consolidated'!BI321</f>
        <v>-1.0106325683943</v>
      </c>
      <c r="AE69" s="73">
        <f>'2. Consolidated'!BJ321</f>
        <v>-1.44413372139869</v>
      </c>
      <c r="AF69" s="78">
        <f>'2. Consolidated'!BK321</f>
        <v>-1.44413372139869</v>
      </c>
      <c r="AG69" s="73">
        <f>'2. Consolidated'!BL321</f>
        <v>-1.34697952011049</v>
      </c>
      <c r="AH69" s="73">
        <f>'2. Consolidated'!BM321</f>
        <v>-1.36981815833558</v>
      </c>
      <c r="AI69" s="73">
        <f>'2. Consolidated'!BN321</f>
        <v>-1.1907539227503</v>
      </c>
      <c r="AJ69" s="73">
        <f>'2. Consolidated'!BO321</f>
        <v>-1.61985526799951</v>
      </c>
      <c r="AK69" s="78">
        <f>'2. Consolidated'!BP321</f>
        <v>-1.61989765462607</v>
      </c>
      <c r="AL69" s="73">
        <f>'2. Consolidated'!BQ321</f>
        <v>-1.47294416328745</v>
      </c>
      <c r="AM69" s="73">
        <f>'2. Consolidated'!BR321</f>
        <v>-0.946001091366343</v>
      </c>
      <c r="AN69" s="73">
        <f>'2. Consolidated'!BS321</f>
        <v>-0.940936621140373</v>
      </c>
      <c r="AO69" s="73">
        <f>'2. Consolidated'!BT321</f>
        <v>-1.06398493335909</v>
      </c>
      <c r="AP69" s="78">
        <f>'2. Consolidated'!BU321</f>
        <v>-1.06398493335909</v>
      </c>
      <c r="AQ69" s="73">
        <f>'2. Consolidated'!BV321</f>
        <v>-0.670923776047094</v>
      </c>
      <c r="AR69" s="73">
        <f>'2. Consolidated'!BW321</f>
        <v>-0.69181693755726</v>
      </c>
      <c r="AS69" s="73">
        <f>'2. Consolidated'!BX321</f>
        <v>-0.614508898617821</v>
      </c>
      <c r="AT69" s="73">
        <f>'2. Consolidated'!BY321</f>
        <v>-1.040399869463</v>
      </c>
      <c r="AU69" s="78">
        <f>'2. Consolidated'!BZ321</f>
        <v>-1.040399869463</v>
      </c>
      <c r="AV69" s="73">
        <f>'2. Consolidated'!CA321</f>
        <v>-0.852245697640343</v>
      </c>
      <c r="AW69" s="73">
        <f>'2. Consolidated'!CB321</f>
        <v>-0.558384500980647</v>
      </c>
      <c r="AX69" s="73">
        <f>'2. Consolidated'!CC321</f>
        <v>-0.491780528153912</v>
      </c>
      <c r="AY69" s="73">
        <f>'2. Consolidated'!CD321</f>
        <v>-1.11348149209154</v>
      </c>
      <c r="AZ69" s="78">
        <f>'2. Consolidated'!CE321</f>
        <v>-1.11348149209154</v>
      </c>
      <c r="BA69" s="73">
        <f>'2. Consolidated'!CF321</f>
        <v>-0.975839324768311</v>
      </c>
      <c r="BB69" s="73">
        <f>'2. Consolidated'!CG321</f>
        <v>-0.84464675150858</v>
      </c>
      <c r="BC69" s="73">
        <f>'2. Consolidated'!CH321</f>
        <v>-0.679240987806912</v>
      </c>
      <c r="BD69" s="73">
        <f>'2. Consolidated'!CI321</f>
        <v>-0.787933994390086</v>
      </c>
      <c r="BE69" s="78">
        <f>'2. Consolidated'!CJ321</f>
        <v>-0.787933994390086</v>
      </c>
      <c r="BF69" s="73">
        <f>'2. Consolidated'!CK321</f>
        <v>-0.388213436758659</v>
      </c>
      <c r="BG69" s="73">
        <f>'2. Consolidated'!CL321</f>
        <v>-0.280559103571507</v>
      </c>
      <c r="BH69" s="73">
        <f>'2. Consolidated'!CM321</f>
        <v>-0.188612657369327</v>
      </c>
      <c r="BI69" s="73">
        <f>'2. Consolidated'!CN321</f>
        <v>-0.554995050123507</v>
      </c>
      <c r="BJ69" s="78">
        <f>'2. Consolidated'!CO321</f>
        <v>-0.554995050123507</v>
      </c>
      <c r="BK69" s="73">
        <f>'2. Consolidated'!CP321</f>
        <v>-0.424080322166621</v>
      </c>
      <c r="BL69" s="73">
        <f>'2. Consolidated'!CQ321</f>
        <v>-0.470121060853029</v>
      </c>
      <c r="BM69" s="73">
        <f>'2. Consolidated'!CR321</f>
        <v>-0.4438192261276</v>
      </c>
      <c r="BN69" s="73">
        <f>'2. Consolidated'!CS321</f>
        <v>-0.859670072444613</v>
      </c>
      <c r="BO69" s="78">
        <f>'2. Consolidated'!CT321</f>
        <v>-0.859670072444613</v>
      </c>
      <c r="BP69" s="73">
        <f>'2. Consolidated'!CU321</f>
        <v>-0.716385597297694</v>
      </c>
      <c r="BQ69" s="73">
        <f>'2. Consolidated'!CV321</f>
        <v>-0.591154447999283</v>
      </c>
      <c r="BR69" s="73">
        <f>'2. Consolidated'!CW321</f>
        <v>-0.425401626551739</v>
      </c>
      <c r="BS69" s="73">
        <f>'2. Consolidated'!CX321</f>
        <v>-0.67215022181605</v>
      </c>
      <c r="BT69" s="78">
        <f>'2. Consolidated'!CY321</f>
        <v>-0.67215022181605</v>
      </c>
      <c r="BU69" s="73">
        <f>'2. Consolidated'!CZ321</f>
        <v>-0.44517419366108</v>
      </c>
      <c r="BV69" s="73">
        <f>'2. Consolidated'!DA321</f>
        <v>-0.388279788652147</v>
      </c>
      <c r="BW69" s="73">
        <f>'2. Consolidated'!DB321</f>
        <v>-0.352839390024283</v>
      </c>
      <c r="BX69" s="73">
        <f>'2. Consolidated'!DC321</f>
        <v>-0.667641972585776</v>
      </c>
      <c r="BY69" s="78">
        <f>'2. Consolidated'!DD321</f>
        <v>-0.667641972585776</v>
      </c>
      <c r="BZ69" s="73">
        <f>'2. Consolidated'!DE321</f>
        <v>-0.590314384034108</v>
      </c>
      <c r="CA69" s="73">
        <f>'2. Consolidated'!DF321</f>
        <v>-0.551827609784842</v>
      </c>
      <c r="CB69" s="73">
        <f>'2. Consolidated'!DG321</f>
        <v>-0.341897477630262</v>
      </c>
      <c r="CC69" s="73">
        <f>'2. Consolidated'!DH321</f>
        <v>-0.581631485731614</v>
      </c>
      <c r="CD69" s="78">
        <f>'2. Consolidated'!DI321</f>
        <v>-0.581631485731614</v>
      </c>
      <c r="CE69" s="73">
        <f>'2. Consolidated'!DJ321</f>
        <v>-0.646514316027399</v>
      </c>
      <c r="CF69" s="73">
        <f>'2. Consolidated'!DK321</f>
        <v>-0.700412092192059</v>
      </c>
      <c r="CG69" s="73">
        <f>'2. Consolidated'!DL321</f>
        <v>-0.439785994584608</v>
      </c>
      <c r="CH69" s="73">
        <f>'2. Consolidated'!DM321</f>
        <v>-0.744547174627564</v>
      </c>
      <c r="CI69" s="78">
        <f>'2. Consolidated'!DN321</f>
        <v>-0.744547174627565</v>
      </c>
      <c r="CJ69" s="73">
        <f>'2. Consolidated'!DO321</f>
        <v>-0.794181348888414</v>
      </c>
      <c r="CK69" s="73">
        <f>'2. Consolidated'!DP321</f>
        <v>-0.804943391232249</v>
      </c>
      <c r="CL69" s="73">
        <f>'2. Consolidated'!DQ321</f>
        <v>-0.539251852036691</v>
      </c>
      <c r="CM69" s="73">
        <f>'2. Consolidated'!DR321</f>
        <v>-0.820625031665993</v>
      </c>
      <c r="CN69" s="78">
        <f>'2. Consolidated'!DS321</f>
        <v>-0.820625031665992</v>
      </c>
    </row>
    <row r="70" ht="15" customHeight="1" spans="2:92">
      <c r="B70" s="74" t="s">
        <v>505</v>
      </c>
      <c r="C70" s="782" t="s">
        <v>208</v>
      </c>
      <c r="D70" s="782" t="s">
        <v>208</v>
      </c>
      <c r="E70" s="782" t="s">
        <v>208</v>
      </c>
      <c r="F70" s="782" t="s">
        <v>208</v>
      </c>
      <c r="G70" s="78">
        <f>'2. Consolidated'!AL324</f>
        <v>0.331740101057934</v>
      </c>
      <c r="H70" s="782" t="s">
        <v>208</v>
      </c>
      <c r="I70" s="782" t="s">
        <v>208</v>
      </c>
      <c r="J70" s="782" t="s">
        <v>208</v>
      </c>
      <c r="K70" s="782" t="s">
        <v>208</v>
      </c>
      <c r="L70" s="78">
        <f>'2. Consolidated'!AQ324</f>
        <v>0.137974802089</v>
      </c>
      <c r="M70" s="782" t="s">
        <v>208</v>
      </c>
      <c r="N70" s="782" t="s">
        <v>208</v>
      </c>
      <c r="O70" s="782" t="s">
        <v>208</v>
      </c>
      <c r="P70" s="782" t="s">
        <v>208</v>
      </c>
      <c r="Q70" s="78">
        <f>'2. Consolidated'!AV324</f>
        <v>-0.0605295211476268</v>
      </c>
      <c r="R70" s="782" t="s">
        <v>208</v>
      </c>
      <c r="S70" s="782" t="s">
        <v>208</v>
      </c>
      <c r="T70" s="782" t="s">
        <v>208</v>
      </c>
      <c r="U70" s="782" t="s">
        <v>208</v>
      </c>
      <c r="V70" s="78">
        <f>'2. Consolidated'!BA324</f>
        <v>0.254016458780074</v>
      </c>
      <c r="W70" s="782" t="s">
        <v>208</v>
      </c>
      <c r="X70" s="782" t="s">
        <v>208</v>
      </c>
      <c r="Y70" s="782" t="s">
        <v>208</v>
      </c>
      <c r="Z70" s="782" t="s">
        <v>208</v>
      </c>
      <c r="AA70" s="78">
        <f>'2. Consolidated'!BF324</f>
        <v>0.871989981303136</v>
      </c>
      <c r="AB70" s="782" t="s">
        <v>208</v>
      </c>
      <c r="AC70" s="782" t="s">
        <v>208</v>
      </c>
      <c r="AD70" s="782" t="s">
        <v>208</v>
      </c>
      <c r="AE70" s="782" t="s">
        <v>208</v>
      </c>
      <c r="AF70" s="78">
        <f>'2. Consolidated'!BK324</f>
        <v>0.677111888932402</v>
      </c>
      <c r="AG70" s="782" t="s">
        <v>208</v>
      </c>
      <c r="AH70" s="782" t="s">
        <v>208</v>
      </c>
      <c r="AI70" s="782" t="s">
        <v>208</v>
      </c>
      <c r="AJ70" s="782" t="s">
        <v>208</v>
      </c>
      <c r="AK70" s="78">
        <f>'2. Consolidated'!BP324</f>
        <v>0.446735126014595</v>
      </c>
      <c r="AL70" s="782" t="s">
        <v>208</v>
      </c>
      <c r="AM70" s="782" t="s">
        <v>208</v>
      </c>
      <c r="AN70" s="782" t="s">
        <v>208</v>
      </c>
      <c r="AO70" s="782" t="s">
        <v>208</v>
      </c>
      <c r="AP70" s="78">
        <f>'2. Consolidated'!BU324</f>
        <v>0.68465975524203</v>
      </c>
      <c r="AQ70" s="782" t="s">
        <v>208</v>
      </c>
      <c r="AR70" s="782" t="s">
        <v>208</v>
      </c>
      <c r="AS70" s="782" t="s">
        <v>208</v>
      </c>
      <c r="AT70" s="782" t="s">
        <v>208</v>
      </c>
      <c r="AU70" s="78">
        <f>'2. Consolidated'!BZ324</f>
        <v>0.734061824924965</v>
      </c>
      <c r="AV70" s="782" t="s">
        <v>208</v>
      </c>
      <c r="AW70" s="782" t="s">
        <v>208</v>
      </c>
      <c r="AX70" s="782" t="s">
        <v>208</v>
      </c>
      <c r="AY70" s="782" t="s">
        <v>208</v>
      </c>
      <c r="AZ70" s="78">
        <f>'2. Consolidated'!CE324</f>
        <v>0.753508927863723</v>
      </c>
      <c r="BA70" s="782" t="s">
        <v>208</v>
      </c>
      <c r="BB70" s="782" t="s">
        <v>208</v>
      </c>
      <c r="BC70" s="782" t="s">
        <v>208</v>
      </c>
      <c r="BD70" s="782" t="s">
        <v>208</v>
      </c>
      <c r="BE70" s="78">
        <f>'2. Consolidated'!CJ324</f>
        <v>0.672811283387269</v>
      </c>
      <c r="BF70" s="782" t="s">
        <v>208</v>
      </c>
      <c r="BG70" s="782" t="s">
        <v>208</v>
      </c>
      <c r="BH70" s="782" t="s">
        <v>208</v>
      </c>
      <c r="BI70" s="782" t="s">
        <v>208</v>
      </c>
      <c r="BJ70" s="78">
        <f>'2. Consolidated'!CO324</f>
        <v>0.75721095360269</v>
      </c>
      <c r="BK70" s="782" t="s">
        <v>208</v>
      </c>
      <c r="BL70" s="782" t="s">
        <v>208</v>
      </c>
      <c r="BM70" s="782" t="s">
        <v>208</v>
      </c>
      <c r="BN70" s="782" t="s">
        <v>208</v>
      </c>
      <c r="BO70" s="78">
        <f>'2. Consolidated'!CT324</f>
        <v>0.445497213872296</v>
      </c>
      <c r="BP70" s="782" t="s">
        <v>208</v>
      </c>
      <c r="BQ70" s="782" t="s">
        <v>208</v>
      </c>
      <c r="BR70" s="782" t="s">
        <v>208</v>
      </c>
      <c r="BS70" s="782" t="s">
        <v>208</v>
      </c>
      <c r="BT70" s="78">
        <f>'2. Consolidated'!CY324</f>
        <v>0.664401604759495</v>
      </c>
      <c r="BU70" s="782" t="s">
        <v>208</v>
      </c>
      <c r="BV70" s="782" t="s">
        <v>208</v>
      </c>
      <c r="BW70" s="782" t="s">
        <v>208</v>
      </c>
      <c r="BX70" s="782" t="s">
        <v>208</v>
      </c>
      <c r="BY70" s="78">
        <f>'2. Consolidated'!DD324</f>
        <v>0.918362677735561</v>
      </c>
      <c r="BZ70" s="782" t="s">
        <v>208</v>
      </c>
      <c r="CA70" s="782" t="s">
        <v>208</v>
      </c>
      <c r="CB70" s="782" t="s">
        <v>208</v>
      </c>
      <c r="CC70" s="782" t="s">
        <v>208</v>
      </c>
      <c r="CD70" s="78">
        <f>'2. Consolidated'!DI324</f>
        <v>1.55866955247405</v>
      </c>
      <c r="CE70" s="782" t="s">
        <v>208</v>
      </c>
      <c r="CF70" s="782" t="s">
        <v>208</v>
      </c>
      <c r="CG70" s="782" t="s">
        <v>208</v>
      </c>
      <c r="CH70" s="782" t="s">
        <v>208</v>
      </c>
      <c r="CI70" s="78">
        <f>'2. Consolidated'!DN324</f>
        <v>1.81743739663145</v>
      </c>
      <c r="CJ70" s="782" t="s">
        <v>208</v>
      </c>
      <c r="CK70" s="782" t="s">
        <v>208</v>
      </c>
      <c r="CL70" s="782" t="s">
        <v>208</v>
      </c>
      <c r="CM70" s="782" t="s">
        <v>208</v>
      </c>
      <c r="CN70" s="78">
        <f>'2. Consolidated'!DS324</f>
        <v>1.95356329134967</v>
      </c>
    </row>
    <row r="71" ht="15" customHeight="1" spans="2:92">
      <c r="B71" s="74" t="s">
        <v>203</v>
      </c>
      <c r="C71" s="782" t="s">
        <v>208</v>
      </c>
      <c r="D71" s="782" t="s">
        <v>208</v>
      </c>
      <c r="E71" s="782" t="s">
        <v>208</v>
      </c>
      <c r="F71" s="782" t="s">
        <v>208</v>
      </c>
      <c r="G71" s="78">
        <f>'2. Consolidated'!AL280</f>
        <v>5.3416436626518</v>
      </c>
      <c r="H71" s="73">
        <f>'2. Consolidated'!AM280</f>
        <v>1.21292308854639</v>
      </c>
      <c r="I71" s="73">
        <f>'2. Consolidated'!AN280</f>
        <v>1.08882376414354</v>
      </c>
      <c r="J71" s="73">
        <f>'2. Consolidated'!AO280</f>
        <v>0.973699087223892</v>
      </c>
      <c r="K71" s="73">
        <f>'2. Consolidated'!AP280</f>
        <v>1.31885181341968</v>
      </c>
      <c r="L71" s="78">
        <f>'2. Consolidated'!AQ280</f>
        <v>4.39440511387781</v>
      </c>
      <c r="M71" s="73">
        <f>'2. Consolidated'!AR280</f>
        <v>1.17120836037386</v>
      </c>
      <c r="N71" s="73">
        <f>'2. Consolidated'!AS280</f>
        <v>1.0339075887792</v>
      </c>
      <c r="O71" s="73">
        <f>'2. Consolidated'!AT280</f>
        <v>0.949696335986217</v>
      </c>
      <c r="P71" s="73">
        <f>'2. Consolidated'!AU280</f>
        <v>1.23496089168987</v>
      </c>
      <c r="Q71" s="78">
        <f>'2. Consolidated'!AV280</f>
        <v>4.29845484720156</v>
      </c>
      <c r="R71" s="73">
        <f>'2. Consolidated'!AW280</f>
        <v>1.0392967686022</v>
      </c>
      <c r="S71" s="73">
        <f>'2. Consolidated'!AX280</f>
        <v>1.09304080231267</v>
      </c>
      <c r="T71" s="73">
        <f>'2. Consolidated'!AY280</f>
        <v>1.02523113570871</v>
      </c>
      <c r="U71" s="73">
        <f>'2. Consolidated'!AZ280</f>
        <v>1.33545825465721</v>
      </c>
      <c r="V71" s="78">
        <f>'2. Consolidated'!BA280</f>
        <v>4.46058490580334</v>
      </c>
      <c r="W71" s="73">
        <f>'2. Consolidated'!BB280</f>
        <v>0.979125760489412</v>
      </c>
      <c r="X71" s="73">
        <f>'2. Consolidated'!BC280</f>
        <v>0.932052615904669</v>
      </c>
      <c r="Y71" s="73">
        <f>'2. Consolidated'!BD280</f>
        <v>0.798596403283414</v>
      </c>
      <c r="Z71" s="73">
        <f>'2. Consolidated'!BE280</f>
        <v>1.09015180082336</v>
      </c>
      <c r="AA71" s="78">
        <f>'2. Consolidated'!BF280</f>
        <v>3.67033001170107</v>
      </c>
      <c r="AB71" s="73">
        <f>'2. Consolidated'!BG280</f>
        <v>0.899219450090225</v>
      </c>
      <c r="AC71" s="73">
        <f>'2. Consolidated'!BH280</f>
        <v>0.924063324631905</v>
      </c>
      <c r="AD71" s="73">
        <f>'2. Consolidated'!BI280</f>
        <v>0.828896544524481</v>
      </c>
      <c r="AE71" s="73">
        <f>'2. Consolidated'!BJ280</f>
        <v>1.09221867241072</v>
      </c>
      <c r="AF71" s="78">
        <f>'2. Consolidated'!BK280</f>
        <v>3.73360620650574</v>
      </c>
      <c r="AG71" s="73">
        <f>'2. Consolidated'!BL280</f>
        <v>0.856576059709619</v>
      </c>
      <c r="AH71" s="73">
        <f>'2. Consolidated'!BM280</f>
        <v>0.90723790056068</v>
      </c>
      <c r="AI71" s="73">
        <f>'2. Consolidated'!BN280</f>
        <v>0.829649777079887</v>
      </c>
      <c r="AJ71" s="73">
        <f>'2. Consolidated'!BO280</f>
        <v>1.11895316152158</v>
      </c>
      <c r="AK71" s="78">
        <f>'2. Consolidated'!BP280</f>
        <v>3.68790856952773</v>
      </c>
      <c r="AL71" s="73">
        <f>'2. Consolidated'!BQ280</f>
        <v>0.867624362204075</v>
      </c>
      <c r="AM71" s="73">
        <f>'2. Consolidated'!BR280</f>
        <v>0.854454345746146</v>
      </c>
      <c r="AN71" s="73">
        <f>'2. Consolidated'!BS280</f>
        <v>0.767170457192434</v>
      </c>
      <c r="AO71" s="73">
        <f>'2. Consolidated'!BT280</f>
        <v>1.10758597875522</v>
      </c>
      <c r="AP71" s="78">
        <f>'2. Consolidated'!BU280</f>
        <v>3.53227631302679</v>
      </c>
      <c r="AQ71" s="73">
        <f>'2. Consolidated'!BV280</f>
        <v>0.850612373916079</v>
      </c>
      <c r="AR71" s="73">
        <f>'2. Consolidated'!BW280</f>
        <v>0.848300437426651</v>
      </c>
      <c r="AS71" s="73">
        <f>'2. Consolidated'!BX280</f>
        <v>0.733182568869516</v>
      </c>
      <c r="AT71" s="73">
        <f>'2. Consolidated'!BY280</f>
        <v>1.02419224608616</v>
      </c>
      <c r="AU71" s="78">
        <f>'2. Consolidated'!BZ280</f>
        <v>3.37202430247994</v>
      </c>
      <c r="AV71" s="73">
        <f>'2. Consolidated'!CA280</f>
        <v>0.554999204797083</v>
      </c>
      <c r="AW71" s="73">
        <f>'2. Consolidated'!CB280</f>
        <v>0.636738019223454</v>
      </c>
      <c r="AX71" s="73">
        <f>'2. Consolidated'!CC280</f>
        <v>0.678881506175183</v>
      </c>
      <c r="AY71" s="73">
        <f>'2. Consolidated'!CD280</f>
        <v>1.0108671433205</v>
      </c>
      <c r="AZ71" s="78">
        <f>'2. Consolidated'!CE280</f>
        <v>2.85314935502322</v>
      </c>
      <c r="BA71" s="73">
        <f>'2. Consolidated'!CF280</f>
        <v>0.762471379300351</v>
      </c>
      <c r="BB71" s="73">
        <f>'2. Consolidated'!CG280</f>
        <v>0.798478518131299</v>
      </c>
      <c r="BC71" s="73">
        <f>'2. Consolidated'!CH280</f>
        <v>0.71640434299109</v>
      </c>
      <c r="BD71" s="73">
        <f>'2. Consolidated'!CI280</f>
        <v>0.934830277311175</v>
      </c>
      <c r="BE71" s="78">
        <f>'2. Consolidated'!CJ280</f>
        <v>3.0853125172038</v>
      </c>
      <c r="BF71" s="73">
        <f>'2. Consolidated'!CK280</f>
        <v>0.663005164796582</v>
      </c>
      <c r="BG71" s="73">
        <f>'2. Consolidated'!CL280</f>
        <v>0.593947790301909</v>
      </c>
      <c r="BH71" s="73">
        <f>'2. Consolidated'!CM280</f>
        <v>0.510667983439624</v>
      </c>
      <c r="BI71" s="73">
        <f>'2. Consolidated'!CN280</f>
        <v>0.740834277439628</v>
      </c>
      <c r="BJ71" s="78">
        <f>'2. Consolidated'!CO280</f>
        <v>2.39968316959994</v>
      </c>
      <c r="BK71" s="73">
        <f>'2. Consolidated'!CP280</f>
        <v>0.561477434867621</v>
      </c>
      <c r="BL71" s="73">
        <f>'2. Consolidated'!CQ280</f>
        <v>0.561947211195329</v>
      </c>
      <c r="BM71" s="73">
        <f>'2. Consolidated'!CR280</f>
        <v>0.555801550368942</v>
      </c>
      <c r="BN71" s="73">
        <f>'2. Consolidated'!CS280</f>
        <v>0.87149820619111</v>
      </c>
      <c r="BO71" s="78">
        <f>'2. Consolidated'!CT280</f>
        <v>2.56003956145231</v>
      </c>
      <c r="BP71" s="73">
        <f>'2. Consolidated'!CU280</f>
        <v>0.699789311502363</v>
      </c>
      <c r="BQ71" s="73">
        <f>'2. Consolidated'!CV280</f>
        <v>0.691265936394996</v>
      </c>
      <c r="BR71" s="73">
        <f>'2. Consolidated'!CW280</f>
        <v>0.616144716180135</v>
      </c>
      <c r="BS71" s="73">
        <f>'2. Consolidated'!CX280</f>
        <v>0.881625939646756</v>
      </c>
      <c r="BT71" s="78">
        <f>'2. Consolidated'!CY280</f>
        <v>2.86994265186752</v>
      </c>
      <c r="BU71" s="73">
        <f>'2. Consolidated'!CZ280</f>
        <v>0.638318748925399</v>
      </c>
      <c r="BV71" s="73">
        <f>'2. Consolidated'!DA280</f>
        <v>0.621109498109588</v>
      </c>
      <c r="BW71" s="73">
        <f>'2. Consolidated'!DB280</f>
        <v>0.612837173497358</v>
      </c>
      <c r="BX71" s="73">
        <f>'2. Consolidated'!DC280</f>
        <v>0.88839795198017</v>
      </c>
      <c r="BY71" s="78">
        <f>'2. Consolidated'!DD280</f>
        <v>2.7248931114912</v>
      </c>
      <c r="BZ71" s="73">
        <f>'2. Consolidated'!DE280</f>
        <v>0.668735634287442</v>
      </c>
      <c r="CA71" s="73">
        <f>'2. Consolidated'!DF280</f>
        <v>0.56127252365576</v>
      </c>
      <c r="CB71" s="73">
        <f>'2. Consolidated'!DG280</f>
        <v>0.579146192593188</v>
      </c>
      <c r="CC71" s="73">
        <f>'2. Consolidated'!DH280</f>
        <v>0.770990767761133</v>
      </c>
      <c r="CD71" s="78">
        <f>'2. Consolidated'!DI280</f>
        <v>2.57430535187976</v>
      </c>
      <c r="CE71" s="73">
        <f>'2. Consolidated'!DJ280</f>
        <v>0.626753338038562</v>
      </c>
      <c r="CF71" s="73">
        <f>'2. Consolidated'!DK280</f>
        <v>0.614501067277519</v>
      </c>
      <c r="CG71" s="73">
        <f>'2. Consolidated'!DL280</f>
        <v>0.569487800642298</v>
      </c>
      <c r="CH71" s="73">
        <f>'2. Consolidated'!DM280</f>
        <v>0.755814465305668</v>
      </c>
      <c r="CI71" s="78">
        <f>'2. Consolidated'!DN280</f>
        <v>2.57187332930847</v>
      </c>
      <c r="CJ71" s="73">
        <f>'2. Consolidated'!DO280</f>
        <v>0.629609710159026</v>
      </c>
      <c r="CK71" s="73">
        <f>'2. Consolidated'!DP280</f>
        <v>0.616147276270786</v>
      </c>
      <c r="CL71" s="73">
        <f>'2. Consolidated'!DQ280</f>
        <v>0.5764885765647</v>
      </c>
      <c r="CM71" s="73">
        <f>'2. Consolidated'!DR280</f>
        <v>0.754437819212161</v>
      </c>
      <c r="CN71" s="78">
        <f>'2. Consolidated'!DS280</f>
        <v>2.57903201729362</v>
      </c>
    </row>
    <row r="72" ht="15" customHeight="1" spans="2:92">
      <c r="B72" s="79" t="s">
        <v>506</v>
      </c>
      <c r="C72" s="784" t="s">
        <v>208</v>
      </c>
      <c r="D72" s="784" t="s">
        <v>208</v>
      </c>
      <c r="E72" s="784" t="s">
        <v>208</v>
      </c>
      <c r="F72" s="784" t="s">
        <v>208</v>
      </c>
      <c r="G72" s="81">
        <v>5.3416436626518</v>
      </c>
      <c r="H72" s="80">
        <v>1.21292308854639</v>
      </c>
      <c r="I72" s="80">
        <v>1.08882376414354</v>
      </c>
      <c r="J72" s="80">
        <v>0.973699087223892</v>
      </c>
      <c r="K72" s="80">
        <v>1.31885181341968</v>
      </c>
      <c r="L72" s="81">
        <v>4.39440511387781</v>
      </c>
      <c r="M72" s="80">
        <v>1.17120836037386</v>
      </c>
      <c r="N72" s="80">
        <v>1.0339075887792</v>
      </c>
      <c r="O72" s="80">
        <v>0.949696335986217</v>
      </c>
      <c r="P72" s="80">
        <v>1.23496089168987</v>
      </c>
      <c r="Q72" s="81">
        <v>4.29845484720156</v>
      </c>
      <c r="R72" s="80">
        <v>1.0392967686022</v>
      </c>
      <c r="S72" s="80">
        <v>1.09304080231267</v>
      </c>
      <c r="T72" s="80">
        <v>1.02523113570871</v>
      </c>
      <c r="U72" s="80">
        <v>1.33545825465721</v>
      </c>
      <c r="V72" s="82">
        <f>'2. Consolidated'!BA282</f>
        <v>0.118362082863131</v>
      </c>
      <c r="W72" s="83">
        <f>'2. Consolidated'!BB282</f>
        <v>0.333327695560254</v>
      </c>
      <c r="X72" s="83">
        <f>'2. Consolidated'!BC282</f>
        <v>0.589823344777963</v>
      </c>
      <c r="Y72" s="83">
        <f>'2. Consolidated'!BD282</f>
        <v>0.556388426048786</v>
      </c>
      <c r="Z72" s="83">
        <f>'2. Consolidated'!BE282</f>
        <v>0.36466682042707</v>
      </c>
      <c r="AA72" s="82">
        <f>'2. Consolidated'!BF282</f>
        <v>0.36466682042707</v>
      </c>
      <c r="AB72" s="83">
        <f>'2. Consolidated'!BG282</f>
        <v>0.21027995890046</v>
      </c>
      <c r="AC72" s="83">
        <f>'2. Consolidated'!BH282</f>
        <v>-0.011860003492429</v>
      </c>
      <c r="AD72" s="83">
        <f>'2. Consolidated'!BI282</f>
        <v>0.0188985137790598</v>
      </c>
      <c r="AE72" s="83">
        <f>'2. Consolidated'!BJ282</f>
        <v>0.0507836019281078</v>
      </c>
      <c r="AF72" s="82">
        <f>'2. Consolidated'!BK282</f>
        <v>0.0507836019281078</v>
      </c>
      <c r="AG72" s="83">
        <f>'2. Consolidated'!BL282</f>
        <v>0.0619082555986443</v>
      </c>
      <c r="AH72" s="83">
        <f>'2. Consolidated'!BM282</f>
        <v>0.140973532074192</v>
      </c>
      <c r="AI72" s="83">
        <f>'2. Consolidated'!BN282</f>
        <v>0.0888251205715007</v>
      </c>
      <c r="AJ72" s="83">
        <f>'2. Consolidated'!BO282</f>
        <v>0.104311870040746</v>
      </c>
      <c r="AK72" s="82">
        <f>'2. Consolidated'!BP282</f>
        <v>0.104311870040746</v>
      </c>
      <c r="AL72" s="83">
        <f>'2. Consolidated'!BQ282</f>
        <v>0.228639578878105</v>
      </c>
      <c r="AM72" s="83">
        <f>'2. Consolidated'!BR282</f>
        <v>0.241187477873869</v>
      </c>
      <c r="AN72" s="83">
        <f>'2. Consolidated'!BS282</f>
        <v>0.249687572437842</v>
      </c>
      <c r="AO72" s="83">
        <f>'2. Consolidated'!BT282</f>
        <v>0.228424393589067</v>
      </c>
      <c r="AP72" s="82">
        <f>'2. Consolidated'!BU282</f>
        <v>0.228424393589067</v>
      </c>
      <c r="AQ72" s="83">
        <f>'2. Consolidated'!BV282</f>
        <v>0.186268392936041</v>
      </c>
      <c r="AR72" s="83">
        <f>'2. Consolidated'!BW282</f>
        <v>0.258796145383424</v>
      </c>
      <c r="AS72" s="83">
        <f>'2. Consolidated'!BX282</f>
        <v>0.26434149006736</v>
      </c>
      <c r="AT72" s="83">
        <f>'2. Consolidated'!BY282</f>
        <v>0.280778674149421</v>
      </c>
      <c r="AU72" s="82">
        <f>'2. Consolidated'!BZ282</f>
        <v>0.280778674149421</v>
      </c>
      <c r="AV72" s="83">
        <f>'2. Consolidated'!CA282</f>
        <v>0.412732558926967</v>
      </c>
      <c r="AW72" s="83">
        <f>'2. Consolidated'!CB282</f>
        <v>0.361078629317775</v>
      </c>
      <c r="AX72" s="83">
        <f>'2. Consolidated'!CC282</f>
        <v>0.229449116730612</v>
      </c>
      <c r="AY72" s="83">
        <f>'2. Consolidated'!CD282</f>
        <v>0.248242570581644</v>
      </c>
      <c r="AZ72" s="82">
        <f>'2. Consolidated'!CE282</f>
        <v>0.248242570581644</v>
      </c>
      <c r="BA72" s="83">
        <f>'2. Consolidated'!CF282</f>
        <v>0.171033268408194</v>
      </c>
      <c r="BB72" s="83">
        <f>'2. Consolidated'!CG282</f>
        <v>0.174000740219955</v>
      </c>
      <c r="BC72" s="83">
        <f>'2. Consolidated'!CH282</f>
        <v>0.224270094294349</v>
      </c>
      <c r="BD72" s="83">
        <f>'2. Consolidated'!CI282</f>
        <v>0.493257420082506</v>
      </c>
      <c r="BE72" s="82">
        <f>'2. Consolidated'!CJ282</f>
        <v>0.493257420082506</v>
      </c>
      <c r="BF72" s="83">
        <f>'2. Consolidated'!CK282</f>
        <v>0.739742662609669</v>
      </c>
      <c r="BG72" s="83">
        <f>'2. Consolidated'!CL282</f>
        <v>0.85111339569227</v>
      </c>
      <c r="BH72" s="83">
        <f>'2. Consolidated'!CM282</f>
        <v>0.845233605254794</v>
      </c>
      <c r="BI72" s="83">
        <f>'2. Consolidated'!CN282</f>
        <v>0.497563842434564</v>
      </c>
      <c r="BJ72" s="82">
        <f>'2. Consolidated'!CO282</f>
        <v>0.497563842434564</v>
      </c>
      <c r="BK72" s="83">
        <f>'2. Consolidated'!CP282</f>
        <v>0.239422292633957</v>
      </c>
      <c r="BL72" s="83">
        <f>'2. Consolidated'!CQ282</f>
        <v>0.135886916959173</v>
      </c>
      <c r="BM72" s="83">
        <f>'2. Consolidated'!CR282</f>
        <v>-0.0448402609839951</v>
      </c>
      <c r="BN72" s="83">
        <f>'2. Consolidated'!CS282</f>
        <v>-0.0855104475920757</v>
      </c>
      <c r="BO72" s="82">
        <f>'2. Consolidated'!CT282</f>
        <v>-0.0855104475920757</v>
      </c>
      <c r="BP72" s="83">
        <f>'2. Consolidated'!CU282</f>
        <v>-0.148733826779885</v>
      </c>
      <c r="BQ72" s="83">
        <f>'2. Consolidated'!CV282</f>
        <v>-0.139521048584588</v>
      </c>
      <c r="BR72" s="83">
        <f>'2. Consolidated'!CW282</f>
        <v>0.0825165888542856</v>
      </c>
      <c r="BS72" s="83">
        <f>'2. Consolidated'!CX282</f>
        <v>0.0895125574001852</v>
      </c>
      <c r="BT72" s="82">
        <f>'2. Consolidated'!CY282</f>
        <v>0.0895125574001852</v>
      </c>
      <c r="BU72" s="83">
        <f>'2. Consolidated'!CZ282</f>
        <v>0.228076656901567</v>
      </c>
      <c r="BV72" s="83">
        <f>'2. Consolidated'!DA282</f>
        <v>0.205401097097848</v>
      </c>
      <c r="BW72" s="83">
        <f>'2. Consolidated'!DB282</f>
        <v>0.109362966039626</v>
      </c>
      <c r="BX72" s="83">
        <f>'2. Consolidated'!DC282</f>
        <v>0.179374112827227</v>
      </c>
      <c r="BY72" s="82">
        <f>'2. Consolidated'!DD282</f>
        <v>0.179374112827227</v>
      </c>
      <c r="BZ72" s="83">
        <f>'2. Consolidated'!DE282</f>
        <v>0.0211834578119487</v>
      </c>
      <c r="CA72" s="83">
        <f>'2. Consolidated'!DF282</f>
        <v>-0.00645547060496809</v>
      </c>
      <c r="CB72" s="83">
        <f>'2. Consolidated'!DG282</f>
        <v>0.0217180292593162</v>
      </c>
      <c r="CC72" s="83">
        <f>'2. Consolidated'!DH282</f>
        <v>0.0461576908063339</v>
      </c>
      <c r="CD72" s="82">
        <f>'2. Consolidated'!DI282</f>
        <v>0.0461576908063339</v>
      </c>
      <c r="CE72" s="83">
        <f>'2. Consolidated'!DJ282</f>
        <v>-0.0212509893547286</v>
      </c>
      <c r="CF72" s="83">
        <f>'2. Consolidated'!DK282</f>
        <v>0.0147986355612237</v>
      </c>
      <c r="CG72" s="83">
        <f>'2. Consolidated'!DL282</f>
        <v>0.0162892842160416</v>
      </c>
      <c r="CH72" s="83">
        <f>'2. Consolidated'!DM282</f>
        <v>0.00291899398926931</v>
      </c>
      <c r="CI72" s="82">
        <f>'2. Consolidated'!DN282</f>
        <v>0.00291899398926931</v>
      </c>
      <c r="CJ72" s="83">
        <f>'2. Consolidated'!DO282</f>
        <v>0.0191339166535043</v>
      </c>
      <c r="CK72" s="83">
        <f>'2. Consolidated'!DP282</f>
        <v>0.00316334132700069</v>
      </c>
      <c r="CL72" s="83">
        <f>'2. Consolidated'!DQ282</f>
        <v>0.00764401992793196</v>
      </c>
      <c r="CM72" s="83">
        <f>'2. Consolidated'!DR282</f>
        <v>0.0134245585221049</v>
      </c>
      <c r="CN72" s="82">
        <f>'2. Consolidated'!DS282</f>
        <v>0.0134245585221049</v>
      </c>
    </row>
    <row r="73" spans="2:92">
      <c r="B73" s="6" t="s">
        <v>507</v>
      </c>
    </row>
  </sheetData>
  <printOptions horizontalCentered="1" verticalCentered="1"/>
  <pageMargins left="0.7" right="0.7" top="0.75" bottom="0.75" header="0.3" footer="0.3"/>
  <pageSetup paperSize="9" scale="20" orientation="portrait"/>
  <headerFooter/>
  <customProperties>
    <customPr name="Qube.Worksheet.Visibility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D571BA1-D310-4F6C-8AE6-ABBF2D65A914}">
  <ds:schemaRefs/>
</ds:datastoreItem>
</file>

<file path=customXml/itemProps2.xml><?xml version="1.0" encoding="utf-8"?>
<ds:datastoreItem xmlns:ds="http://schemas.openxmlformats.org/officeDocument/2006/customXml" ds:itemID="{29637885-061E-4768-BE47-4E5288FC1E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Goldman Sachs &amp; Co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Cover</vt:lpstr>
      <vt:lpstr>2. Consolidated</vt:lpstr>
      <vt:lpstr>3. Earnings Build</vt:lpstr>
      <vt:lpstr>4. Summary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raokes</dc:creator>
  <cp:lastModifiedBy>rundong</cp:lastModifiedBy>
  <dcterms:created xsi:type="dcterms:W3CDTF">2013-01-04T20:51:00Z</dcterms:created>
  <cp:lastPrinted>2026-09-02T22:04:00Z</cp:lastPrinted>
  <dcterms:modified xsi:type="dcterms:W3CDTF">2026-09-29T14:53:56Z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{D59A8A2F-6E1B-4E9A-BF5F-A568C4E1C7B5}</vt:lpwstr>
  </property>
  <property fmtid="{D5CDD505-2E9C-101B-9397-08002B2CF9AE}" pid="3" name="TitusGUID">
    <vt:lpwstr>3f4ae104-d21b-4c1f-8aff-bd921e907c27</vt:lpwstr>
  </property>
  <property fmtid="{D5CDD505-2E9C-101B-9397-08002B2CF9AE}" pid="4" name="Classification">
    <vt:lpwstr>EB</vt:lpwstr>
  </property>
  <property fmtid="{D5CDD505-2E9C-101B-9397-08002B2CF9AE}" pid="5" name="DocNoClass">
    <vt:lpwstr>Not In Use</vt:lpwstr>
  </property>
  <property fmtid="{D5CDD505-2E9C-101B-9397-08002B2CF9AE}" pid="6" name="ICV">
    <vt:lpwstr>CB99E62C8A98250A525FBB6AD07BB2D0_43</vt:lpwstr>
  </property>
  <property fmtid="{D5CDD505-2E9C-101B-9397-08002B2CF9AE}" pid="7" name="KSOProductBuildVer">
    <vt:lpwstr>2052-12.1.23540.23540</vt:lpwstr>
  </property>
</Properties>
</file>